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Documents\"/>
    </mc:Choice>
  </mc:AlternateContent>
  <xr:revisionPtr revIDLastSave="0" documentId="13_ncr:1_{478593CF-5803-479F-9E20-CB6879BA5BC9}" xr6:coauthVersionLast="47" xr6:coauthVersionMax="47" xr10:uidLastSave="{00000000-0000-0000-0000-000000000000}"/>
  <bookViews>
    <workbookView xWindow="-110" yWindow="-110" windowWidth="25820" windowHeight="15500" xr2:uid="{123F5B1C-E724-4F3A-BC04-E3DCA9E2FD97}"/>
  </bookViews>
  <sheets>
    <sheet name="Prototyp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" l="1"/>
  <c r="H65" i="1"/>
  <c r="J69" i="1" s="1"/>
  <c r="E65" i="1"/>
  <c r="H64" i="1"/>
  <c r="B62" i="1"/>
  <c r="B52" i="1" s="1"/>
  <c r="E51" i="1" s="1"/>
  <c r="B60" i="1"/>
  <c r="G58" i="1"/>
  <c r="B51" i="1"/>
  <c r="B29" i="1"/>
  <c r="B31" i="1" s="1"/>
  <c r="E18" i="1"/>
  <c r="E19" i="1" s="1"/>
  <c r="E20" i="1" s="1"/>
  <c r="E23" i="1" s="1"/>
  <c r="H18" i="1" s="1"/>
  <c r="B14" i="1"/>
  <c r="B15" i="1" s="1"/>
  <c r="C15" i="1" s="1"/>
  <c r="F3" i="1" s="1"/>
  <c r="B13" i="1"/>
  <c r="C13" i="1" s="1"/>
  <c r="B12" i="1"/>
  <c r="C12" i="1" s="1"/>
  <c r="C8" i="1"/>
  <c r="C7" i="1"/>
  <c r="C6" i="1"/>
  <c r="C5" i="1"/>
  <c r="B4" i="1"/>
  <c r="C4" i="1" s="1"/>
  <c r="C3" i="1"/>
  <c r="B32" i="1" s="1"/>
  <c r="C2" i="1"/>
  <c r="B24" i="1" s="1"/>
  <c r="E27" i="1" l="1"/>
  <c r="E28" i="1" s="1"/>
  <c r="E30" i="1" s="1"/>
  <c r="H27" i="1" s="1"/>
  <c r="K20" i="1" s="1"/>
  <c r="G59" i="1"/>
  <c r="J67" i="1" s="1"/>
  <c r="G53" i="1"/>
  <c r="F2" i="1"/>
  <c r="F4" i="1"/>
  <c r="K27" i="1"/>
  <c r="K19" i="1"/>
  <c r="K18" i="1"/>
  <c r="N71" i="1"/>
  <c r="M71" i="1"/>
  <c r="C14" i="1"/>
  <c r="K21" i="1" l="1"/>
  <c r="K22" i="1" s="1"/>
  <c r="K23" i="1" s="1"/>
  <c r="K28" i="1" s="1"/>
  <c r="J68" i="1"/>
  <c r="M67" i="1" s="1"/>
  <c r="M68" i="1" s="1"/>
  <c r="M21" i="1"/>
  <c r="M22" i="1" s="1"/>
  <c r="K29" i="1" l="1"/>
  <c r="M29" i="1" s="1"/>
  <c r="K30" i="1"/>
  <c r="M30" i="1" s="1"/>
  <c r="M73" i="1"/>
  <c r="M72" i="1"/>
  <c r="L75" i="1" s="1"/>
  <c r="L76" i="1" s="1"/>
  <c r="M76" i="1" s="1"/>
  <c r="N73" i="1" l="1"/>
  <c r="N72" i="1"/>
  <c r="O71" i="1" s="1"/>
  <c r="P71" i="1" s="1"/>
  <c r="Q71" i="1" s="1"/>
</calcChain>
</file>

<file path=xl/sharedStrings.xml><?xml version="1.0" encoding="utf-8"?>
<sst xmlns="http://schemas.openxmlformats.org/spreadsheetml/2006/main" count="94" uniqueCount="84">
  <si>
    <t>HXR Geometry and Flow Rates</t>
  </si>
  <si>
    <t>Misc. Calculated Values</t>
  </si>
  <si>
    <t>Inlet Temperatures</t>
  </si>
  <si>
    <t>Q cold (gpm, m^3/s)</t>
  </si>
  <si>
    <t>Ai (m^2)</t>
  </si>
  <si>
    <t>Tc,i (C)</t>
  </si>
  <si>
    <t>Q hot (gpm, m^3/s)</t>
  </si>
  <si>
    <t>Ao (m^2)</t>
  </si>
  <si>
    <t>Th,i (C)</t>
  </si>
  <si>
    <t>ID(in,m)</t>
  </si>
  <si>
    <t>C ratio</t>
  </si>
  <si>
    <t>OD(in,m)</t>
  </si>
  <si>
    <t>Shell Diameter (in,m)</t>
  </si>
  <si>
    <t>Baffle Spacing (in,m)</t>
  </si>
  <si>
    <t>Clearance (in,m)</t>
  </si>
  <si>
    <t># of Tubes</t>
  </si>
  <si>
    <t># of Passes</t>
  </si>
  <si>
    <t>L (Length per tube) (in,m)</t>
  </si>
  <si>
    <t>L (total) (in,m)</t>
  </si>
  <si>
    <t>L (entrance region) (in,m)</t>
  </si>
  <si>
    <t>L (Fully developed) (in,m)</t>
  </si>
  <si>
    <t>Ice Water Properties (Shell)</t>
  </si>
  <si>
    <t>Effectiveness-NTU Relations</t>
  </si>
  <si>
    <t>Density (kg/m^3)</t>
  </si>
  <si>
    <t>V (m/s)</t>
  </si>
  <si>
    <t>h (W/m^2K)</t>
  </si>
  <si>
    <t>U Term 1</t>
  </si>
  <si>
    <t>Viscocity (N*s/m^2)</t>
  </si>
  <si>
    <t>Vmax (m/s)</t>
  </si>
  <si>
    <t>U Term 2</t>
  </si>
  <si>
    <t>Cp (kJ/kgK)</t>
  </si>
  <si>
    <t>Re (ext)</t>
  </si>
  <si>
    <t>U Term 3</t>
  </si>
  <si>
    <t>kf (W/mK)</t>
  </si>
  <si>
    <t>C</t>
  </si>
  <si>
    <t>U</t>
  </si>
  <si>
    <r>
      <rPr>
        <sz val="11"/>
        <color theme="1"/>
        <rFont val="Calibri"/>
      </rPr>
      <t>Pr (T</t>
    </r>
    <r>
      <rPr>
        <sz val="11"/>
        <color theme="1"/>
        <rFont val="Calibri"/>
      </rPr>
      <t>∞</t>
    </r>
    <r>
      <rPr>
        <sz val="11"/>
        <color theme="1"/>
        <rFont val="Calibri"/>
      </rPr>
      <t>)</t>
    </r>
  </si>
  <si>
    <t>m</t>
  </si>
  <si>
    <t>NTU</t>
  </si>
  <si>
    <t>Pr (Ts)</t>
  </si>
  <si>
    <t>Nu</t>
  </si>
  <si>
    <t>Ɛ</t>
  </si>
  <si>
    <t>C cold</t>
  </si>
  <si>
    <t>Propylene Glycol Properties (Tube)</t>
  </si>
  <si>
    <t>Heat Transfer</t>
  </si>
  <si>
    <t>Density(m^3/kg)</t>
  </si>
  <si>
    <t>qmax</t>
  </si>
  <si>
    <t>Re (int)</t>
  </si>
  <si>
    <t>q</t>
  </si>
  <si>
    <t>f</t>
  </si>
  <si>
    <t>ΔT,h (C)</t>
  </si>
  <si>
    <t>Th,o (C)</t>
  </si>
  <si>
    <t>k (W/mK)</t>
  </si>
  <si>
    <t>ΔT,c (C)</t>
  </si>
  <si>
    <t>Tc,o (C)</t>
  </si>
  <si>
    <t>Pr</t>
  </si>
  <si>
    <t>C hot</t>
  </si>
  <si>
    <t>Wasteland</t>
  </si>
  <si>
    <t>External flow Re</t>
  </si>
  <si>
    <t>CC</t>
  </si>
  <si>
    <t>Cr</t>
  </si>
  <si>
    <t>CH</t>
  </si>
  <si>
    <t>Xe</t>
  </si>
  <si>
    <t>propolene Glycol</t>
  </si>
  <si>
    <t>density(m^3/kg)</t>
  </si>
  <si>
    <t>hC</t>
  </si>
  <si>
    <t>mdot(kg/s)</t>
  </si>
  <si>
    <t>viscocity (cP)</t>
  </si>
  <si>
    <t>kf</t>
  </si>
  <si>
    <t>Cp</t>
  </si>
  <si>
    <t>Ice Water</t>
  </si>
  <si>
    <t>density</t>
  </si>
  <si>
    <t>viscocity</t>
  </si>
  <si>
    <t>h</t>
  </si>
  <si>
    <t>Re</t>
  </si>
  <si>
    <t>t1=</t>
  </si>
  <si>
    <t>U=</t>
  </si>
  <si>
    <t>t2=</t>
  </si>
  <si>
    <t>NTU=</t>
  </si>
  <si>
    <t>t3=</t>
  </si>
  <si>
    <t>a</t>
  </si>
  <si>
    <t>b</t>
  </si>
  <si>
    <t>eff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</si>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</sst>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sz val="11"/>
      <color rgb="FF000000"/>
      <name val="Calibri"/>
    </font>
    <font>
      <sz val="11"/>
      <color rgb="FFFFFFFF"/>
      <name val="Calibri"/>
      <scheme val="minor"/>
    </font>
    <font>
      <sz val="11"/>
      <color rgb="FF000000"/>
      <name val="Roboto"/>
    </font>
    <font>
      <sz val="9"/>
      <color rgb="FF000000"/>
      <name val="&quot;Google Sans Mono&quot;"/>
    </font>
    <font>
      <b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D9EAD3"/>
        <bgColor rgb="FFD9EAD3"/>
      </patternFill>
    </fill>
    <fill>
      <patternFill patternType="solid">
        <fgColor rgb="FF6D9EEB"/>
        <bgColor rgb="FF6D9EEB"/>
      </patternFill>
    </fill>
    <fill>
      <patternFill patternType="solid">
        <fgColor rgb="FFFFD966"/>
        <bgColor rgb="FFFFD966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E06666"/>
        <bgColor rgb="FFE06666"/>
      </patternFill>
    </fill>
    <fill>
      <patternFill patternType="solid">
        <fgColor rgb="FFB4A7D6"/>
        <bgColor rgb="FFB4A7D6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/>
    <xf numFmtId="0" fontId="2" fillId="3" borderId="0" xfId="0" applyFont="1" applyFill="1" applyAlignment="1">
      <alignment horizontal="left"/>
    </xf>
    <xf numFmtId="0" fontId="1" fillId="0" borderId="0" xfId="0" applyFont="1"/>
    <xf numFmtId="0" fontId="1" fillId="6" borderId="0" xfId="0" applyFont="1" applyFill="1"/>
    <xf numFmtId="0" fontId="1" fillId="7" borderId="0" xfId="0" applyFont="1" applyFill="1"/>
    <xf numFmtId="11" fontId="1" fillId="6" borderId="0" xfId="0" applyNumberFormat="1" applyFont="1" applyFill="1"/>
    <xf numFmtId="4" fontId="1" fillId="6" borderId="0" xfId="0" applyNumberFormat="1" applyFont="1" applyFill="1"/>
    <xf numFmtId="0" fontId="5" fillId="0" borderId="0" xfId="0" applyFont="1"/>
    <xf numFmtId="0" fontId="6" fillId="7" borderId="0" xfId="0" applyFont="1" applyFill="1"/>
    <xf numFmtId="0" fontId="2" fillId="6" borderId="0" xfId="0" applyFont="1" applyFill="1" applyAlignment="1">
      <alignment horizontal="left"/>
    </xf>
    <xf numFmtId="0" fontId="1" fillId="10" borderId="0" xfId="0" applyFont="1" applyFill="1"/>
    <xf numFmtId="0" fontId="1" fillId="11" borderId="0" xfId="0" applyFont="1" applyFill="1"/>
    <xf numFmtId="0" fontId="2" fillId="1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7" fillId="12" borderId="0" xfId="0" applyFont="1" applyFill="1"/>
    <xf numFmtId="0" fontId="2" fillId="13" borderId="0" xfId="0" applyFont="1" applyFill="1" applyAlignment="1">
      <alignment horizontal="left"/>
    </xf>
    <xf numFmtId="0" fontId="1" fillId="13" borderId="0" xfId="0" applyFont="1" applyFill="1"/>
    <xf numFmtId="0" fontId="7" fillId="1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8" fillId="11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E377-38E1-4143-BAC1-62303982704F}">
  <sheetPr>
    <outlinePr summaryBelow="0" summaryRight="0"/>
  </sheetPr>
  <dimension ref="A1:AB79"/>
  <sheetViews>
    <sheetView tabSelected="1" workbookViewId="0">
      <selection activeCell="N18" sqref="N18"/>
    </sheetView>
  </sheetViews>
  <sheetFormatPr defaultColWidth="14.453125" defaultRowHeight="15" customHeight="1"/>
  <cols>
    <col min="1" max="1" width="30.54296875" customWidth="1"/>
    <col min="2" max="2" width="13.26953125" customWidth="1"/>
    <col min="3" max="3" width="12.08984375" customWidth="1"/>
    <col min="4" max="4" width="10.81640625" customWidth="1"/>
    <col min="5" max="5" width="21" customWidth="1"/>
    <col min="6" max="6" width="14.453125" customWidth="1"/>
    <col min="7" max="7" width="11.54296875" customWidth="1"/>
    <col min="8" max="8" width="18.453125" customWidth="1"/>
    <col min="9" max="9" width="4.81640625" customWidth="1"/>
    <col min="10" max="10" width="24.7265625" customWidth="1"/>
    <col min="11" max="11" width="18.7265625" customWidth="1"/>
    <col min="12" max="12" width="8.453125" customWidth="1"/>
    <col min="13" max="13" width="12.26953125" customWidth="1"/>
  </cols>
  <sheetData>
    <row r="1" spans="1:9">
      <c r="A1" s="21" t="s">
        <v>0</v>
      </c>
      <c r="B1" s="20"/>
      <c r="C1" s="20"/>
      <c r="E1" s="22" t="s">
        <v>1</v>
      </c>
      <c r="F1" s="20"/>
      <c r="H1" s="23" t="s">
        <v>2</v>
      </c>
      <c r="I1" s="20"/>
    </row>
    <row r="2" spans="1:9">
      <c r="A2" s="1" t="s">
        <v>3</v>
      </c>
      <c r="B2" s="1">
        <v>4</v>
      </c>
      <c r="C2" s="1">
        <f t="shared" ref="C2:C3" si="0">B2*0.00006309</f>
        <v>2.5235999999999998E-4</v>
      </c>
      <c r="E2" s="1" t="s">
        <v>4</v>
      </c>
      <c r="F2" s="1">
        <f>PI()*C4*C15</f>
        <v>3.0782479355172983E-2</v>
      </c>
      <c r="H2" s="1" t="s">
        <v>5</v>
      </c>
      <c r="I2" s="1">
        <v>0</v>
      </c>
    </row>
    <row r="3" spans="1:9">
      <c r="A3" s="1" t="s">
        <v>6</v>
      </c>
      <c r="B3" s="1">
        <v>4</v>
      </c>
      <c r="C3" s="1">
        <f t="shared" si="0"/>
        <v>2.5235999999999998E-4</v>
      </c>
      <c r="E3" s="1" t="s">
        <v>7</v>
      </c>
      <c r="F3" s="1">
        <f>PI()*C5*C15</f>
        <v>4.1043305806897315E-2</v>
      </c>
      <c r="H3" s="1" t="s">
        <v>8</v>
      </c>
      <c r="I3" s="1">
        <v>20</v>
      </c>
    </row>
    <row r="4" spans="1:9">
      <c r="A4" s="1" t="s">
        <v>9</v>
      </c>
      <c r="B4" s="1">
        <f>3/8</f>
        <v>0.375</v>
      </c>
      <c r="C4" s="1">
        <f t="shared" ref="C4:C8" si="1">B4*0.0254</f>
        <v>9.5249999999999987E-3</v>
      </c>
      <c r="E4" s="2" t="s">
        <v>10</v>
      </c>
      <c r="F4" s="1">
        <f>B32/B24</f>
        <v>0.87879487305173143</v>
      </c>
    </row>
    <row r="5" spans="1:9">
      <c r="A5" s="1" t="s">
        <v>11</v>
      </c>
      <c r="B5" s="1">
        <v>0.5</v>
      </c>
      <c r="C5" s="1">
        <f t="shared" si="1"/>
        <v>1.2699999999999999E-2</v>
      </c>
      <c r="D5" s="3"/>
      <c r="E5" s="3"/>
    </row>
    <row r="6" spans="1:9">
      <c r="A6" s="2" t="s">
        <v>12</v>
      </c>
      <c r="B6" s="1">
        <v>4</v>
      </c>
      <c r="C6" s="1">
        <f t="shared" si="1"/>
        <v>0.1016</v>
      </c>
    </row>
    <row r="7" spans="1:9">
      <c r="A7" s="2" t="s">
        <v>13</v>
      </c>
      <c r="B7" s="1">
        <v>2</v>
      </c>
      <c r="C7" s="1">
        <f t="shared" si="1"/>
        <v>5.0799999999999998E-2</v>
      </c>
    </row>
    <row r="8" spans="1:9">
      <c r="A8" s="2" t="s">
        <v>14</v>
      </c>
      <c r="B8" s="1">
        <v>0.75</v>
      </c>
      <c r="C8" s="1">
        <f t="shared" si="1"/>
        <v>1.9049999999999997E-2</v>
      </c>
    </row>
    <row r="9" spans="1:9">
      <c r="A9" s="2"/>
      <c r="B9" s="1"/>
      <c r="C9" s="1"/>
    </row>
    <row r="10" spans="1:9">
      <c r="A10" s="2" t="s">
        <v>15</v>
      </c>
      <c r="B10" s="1">
        <v>2</v>
      </c>
      <c r="C10" s="1"/>
    </row>
    <row r="11" spans="1:9">
      <c r="A11" s="2" t="s">
        <v>16</v>
      </c>
      <c r="B11" s="1">
        <v>2</v>
      </c>
      <c r="C11" s="1"/>
    </row>
    <row r="12" spans="1:9">
      <c r="A12" s="2" t="s">
        <v>17</v>
      </c>
      <c r="B12" s="1">
        <f>12</f>
        <v>12</v>
      </c>
      <c r="C12" s="1">
        <f t="shared" ref="C12:C15" si="2">B12*0.0254</f>
        <v>0.30479999999999996</v>
      </c>
    </row>
    <row r="13" spans="1:9">
      <c r="A13" s="2" t="s">
        <v>18</v>
      </c>
      <c r="B13" s="1">
        <f>B12*B10*B11</f>
        <v>48</v>
      </c>
      <c r="C13" s="1">
        <f t="shared" si="2"/>
        <v>1.2191999999999998</v>
      </c>
    </row>
    <row r="14" spans="1:9">
      <c r="A14" s="1" t="s">
        <v>19</v>
      </c>
      <c r="B14" s="1">
        <f>10*B4</f>
        <v>3.75</v>
      </c>
      <c r="C14" s="1">
        <f t="shared" si="2"/>
        <v>9.5250000000000001E-2</v>
      </c>
    </row>
    <row r="15" spans="1:9">
      <c r="A15" s="1" t="s">
        <v>20</v>
      </c>
      <c r="B15" s="1">
        <f>B13-B14*2</f>
        <v>40.5</v>
      </c>
      <c r="C15" s="1">
        <f t="shared" si="2"/>
        <v>1.0286999999999999</v>
      </c>
    </row>
    <row r="17" spans="1:13">
      <c r="A17" s="24" t="s">
        <v>21</v>
      </c>
      <c r="B17" s="20"/>
      <c r="C17" s="20"/>
      <c r="D17" s="20"/>
      <c r="E17" s="20"/>
      <c r="F17" s="20"/>
      <c r="G17" s="20"/>
      <c r="H17" s="20"/>
      <c r="J17" s="25" t="s">
        <v>22</v>
      </c>
      <c r="K17" s="20"/>
    </row>
    <row r="18" spans="1:13">
      <c r="A18" s="4" t="s">
        <v>23</v>
      </c>
      <c r="B18" s="4">
        <v>998</v>
      </c>
      <c r="C18" s="4"/>
      <c r="D18" s="4" t="s">
        <v>24</v>
      </c>
      <c r="E18" s="4">
        <f>C2/(C6*C7)</f>
        <v>4.8894847789695578E-2</v>
      </c>
      <c r="F18" s="4"/>
      <c r="G18" s="4" t="s">
        <v>25</v>
      </c>
      <c r="H18" s="4">
        <f>E23*B21/C5</f>
        <v>2503.7628887603764</v>
      </c>
      <c r="J18" s="5" t="s">
        <v>26</v>
      </c>
      <c r="K18" s="5">
        <f>F3/F2*(1/H18)</f>
        <v>5.3253179017821153E-4</v>
      </c>
    </row>
    <row r="19" spans="1:13">
      <c r="A19" s="4" t="s">
        <v>27</v>
      </c>
      <c r="B19" s="6">
        <v>1.7600000000000001E-3</v>
      </c>
      <c r="C19" s="4"/>
      <c r="D19" s="4" t="s">
        <v>28</v>
      </c>
      <c r="E19" s="7">
        <f>E18*(C8/(C8-C5))</f>
        <v>0.14668454336908676</v>
      </c>
      <c r="F19" s="4"/>
      <c r="G19" s="4"/>
      <c r="H19" s="4"/>
      <c r="J19" s="5" t="s">
        <v>29</v>
      </c>
      <c r="K19" s="5">
        <f>F3*LN(C5/C4)/(2*PI()*C15*397)</f>
        <v>4.6014638792665222E-6</v>
      </c>
    </row>
    <row r="20" spans="1:13">
      <c r="A20" s="4" t="s">
        <v>30</v>
      </c>
      <c r="B20" s="4">
        <v>4.2110000000000003</v>
      </c>
      <c r="C20" s="4"/>
      <c r="D20" s="4" t="s">
        <v>31</v>
      </c>
      <c r="E20" s="7">
        <f>B18*E19*C5/B19</f>
        <v>1056.3454053328564</v>
      </c>
      <c r="F20" s="4"/>
      <c r="G20" s="4"/>
      <c r="H20" s="4"/>
      <c r="J20" s="5" t="s">
        <v>32</v>
      </c>
      <c r="K20" s="5">
        <f>1/H27</f>
        <v>3.8203539301660377E-4</v>
      </c>
    </row>
    <row r="21" spans="1:13">
      <c r="A21" s="4" t="s">
        <v>33</v>
      </c>
      <c r="B21" s="4">
        <v>0.59799999999999998</v>
      </c>
      <c r="C21" s="4"/>
      <c r="D21" s="4" t="s">
        <v>34</v>
      </c>
      <c r="E21" s="4">
        <v>0.27</v>
      </c>
      <c r="F21" s="4"/>
      <c r="G21" s="4"/>
      <c r="H21" s="4"/>
      <c r="J21" s="5" t="s">
        <v>35</v>
      </c>
      <c r="K21" s="5">
        <f>(1/(K18+K19+K20))</f>
        <v>1087.9396323876172</v>
      </c>
      <c r="M21" s="8">
        <f>(1/(H18*F2)+1/(H27*F3))^-1/F3</f>
        <v>1093.4133854516256</v>
      </c>
    </row>
    <row r="22" spans="1:13">
      <c r="A22" s="4" t="s">
        <v>36</v>
      </c>
      <c r="B22" s="4">
        <v>13.6</v>
      </c>
      <c r="C22" s="4"/>
      <c r="D22" s="4" t="s">
        <v>37</v>
      </c>
      <c r="E22" s="4">
        <v>0.63</v>
      </c>
      <c r="F22" s="4"/>
      <c r="G22" s="4"/>
      <c r="H22" s="4"/>
      <c r="J22" s="5" t="s">
        <v>38</v>
      </c>
      <c r="K22" s="5">
        <f>K21*F3/F4</f>
        <v>50.811219319550901</v>
      </c>
      <c r="M22" s="8">
        <f>M21*F3/B32</f>
        <v>48.1507330972914</v>
      </c>
    </row>
    <row r="23" spans="1:13">
      <c r="A23" s="4" t="s">
        <v>39</v>
      </c>
      <c r="B23" s="4">
        <v>6.62</v>
      </c>
      <c r="C23" s="4"/>
      <c r="D23" s="4" t="s">
        <v>40</v>
      </c>
      <c r="E23" s="4">
        <f>E21*E20^E22*B22^(0.36)*(B22/B23)^0.25*0.8</f>
        <v>53.173559677686924</v>
      </c>
      <c r="F23" s="4"/>
      <c r="G23" s="4"/>
      <c r="H23" s="4"/>
      <c r="J23" s="9" t="s">
        <v>41</v>
      </c>
      <c r="K23" s="5">
        <f>2*(1+F4+(1+F4^2)^0.5*((1+EXP(-K22*(1+B34^2)^0.5))/(1-EXP(-K22*(1+B34^2)^0.5))))^-1</f>
        <v>0.62304032315484359</v>
      </c>
    </row>
    <row r="24" spans="1:13">
      <c r="A24" s="10" t="s">
        <v>42</v>
      </c>
      <c r="B24" s="4">
        <f>B18*C2*B20</f>
        <v>1.0605625840799999</v>
      </c>
      <c r="C24" s="4"/>
      <c r="D24" s="4"/>
      <c r="E24" s="4"/>
      <c r="F24" s="4"/>
      <c r="G24" s="4"/>
      <c r="H24" s="4"/>
    </row>
    <row r="25" spans="1:13">
      <c r="A25" s="3"/>
      <c r="B25" s="3"/>
    </row>
    <row r="26" spans="1:13">
      <c r="A26" s="26" t="s">
        <v>43</v>
      </c>
      <c r="B26" s="20"/>
      <c r="C26" s="20"/>
      <c r="D26" s="20"/>
      <c r="E26" s="20"/>
      <c r="F26" s="20"/>
      <c r="G26" s="20"/>
      <c r="H26" s="20"/>
      <c r="J26" s="27" t="s">
        <v>44</v>
      </c>
      <c r="K26" s="20"/>
      <c r="L26" s="20"/>
      <c r="M26" s="20"/>
    </row>
    <row r="27" spans="1:13">
      <c r="A27" s="11" t="s">
        <v>45</v>
      </c>
      <c r="B27" s="11">
        <v>1038</v>
      </c>
      <c r="C27" s="11"/>
      <c r="D27" s="11" t="s">
        <v>24</v>
      </c>
      <c r="E27" s="11">
        <f>C3/(PI()/4*C4^2*B10)</f>
        <v>1.770804728594406</v>
      </c>
      <c r="F27" s="11"/>
      <c r="G27" s="11" t="s">
        <v>25</v>
      </c>
      <c r="H27" s="11">
        <f>E30*B30/C4</f>
        <v>2617.5585254126931</v>
      </c>
      <c r="J27" s="12" t="s">
        <v>46</v>
      </c>
      <c r="K27" s="12">
        <f>(I3-I2)*B32*1000</f>
        <v>18640.339228799996</v>
      </c>
      <c r="L27" s="12"/>
      <c r="M27" s="12"/>
    </row>
    <row r="28" spans="1:13">
      <c r="A28" s="11" t="s">
        <v>27</v>
      </c>
      <c r="B28" s="11">
        <v>5.0499999999999998E-3</v>
      </c>
      <c r="C28" s="11"/>
      <c r="D28" s="11" t="s">
        <v>47</v>
      </c>
      <c r="E28" s="11">
        <f>B27*E27*C4/B28</f>
        <v>3466.9025369062301</v>
      </c>
      <c r="F28" s="11"/>
      <c r="G28" s="11"/>
      <c r="H28" s="11"/>
      <c r="J28" s="12" t="s">
        <v>48</v>
      </c>
      <c r="K28" s="12">
        <f>K23*K27</f>
        <v>11613.682976827457</v>
      </c>
      <c r="L28" s="12"/>
      <c r="M28" s="12"/>
    </row>
    <row r="29" spans="1:13">
      <c r="A29" s="11" t="s">
        <v>30</v>
      </c>
      <c r="B29" s="11">
        <f>3.558</f>
        <v>3.5579999999999998</v>
      </c>
      <c r="C29" s="11"/>
      <c r="D29" s="11" t="s">
        <v>49</v>
      </c>
      <c r="E29" s="11">
        <v>6.54E-2</v>
      </c>
      <c r="F29" s="11"/>
      <c r="G29" s="11"/>
      <c r="H29" s="11"/>
      <c r="J29" s="12" t="s">
        <v>50</v>
      </c>
      <c r="K29" s="12">
        <f>K28/B32/1000</f>
        <v>12.460806463096871</v>
      </c>
      <c r="L29" s="12" t="s">
        <v>51</v>
      </c>
      <c r="M29" s="28">
        <f>I3-K29</f>
        <v>7.5391935369031291</v>
      </c>
    </row>
    <row r="30" spans="1:13">
      <c r="A30" s="13" t="s">
        <v>52</v>
      </c>
      <c r="B30" s="11">
        <v>0.39300000000000002</v>
      </c>
      <c r="C30" s="11"/>
      <c r="D30" s="11" t="s">
        <v>40</v>
      </c>
      <c r="E30" s="11">
        <f>((E29/8)*(E28-1000)*B31)/(1+12.7*(E29/8)^0.5*(B31^(2/3)-1))</f>
        <v>63.440826856376326</v>
      </c>
      <c r="F30" s="11"/>
      <c r="G30" s="11"/>
      <c r="H30" s="11"/>
      <c r="J30" s="12" t="s">
        <v>53</v>
      </c>
      <c r="K30" s="12">
        <f>K28/B24/1000</f>
        <v>10.950492833859409</v>
      </c>
      <c r="L30" s="12" t="s">
        <v>54</v>
      </c>
      <c r="M30" s="28">
        <f>K30-I2</f>
        <v>10.950492833859409</v>
      </c>
    </row>
    <row r="31" spans="1:13">
      <c r="A31" s="13" t="s">
        <v>55</v>
      </c>
      <c r="B31" s="11">
        <f>B29*B28*1000/B30</f>
        <v>45.719847328244271</v>
      </c>
      <c r="C31" s="11"/>
      <c r="D31" s="11"/>
      <c r="E31" s="11"/>
      <c r="F31" s="11"/>
      <c r="G31" s="11"/>
      <c r="H31" s="11"/>
    </row>
    <row r="32" spans="1:13">
      <c r="A32" s="13" t="s">
        <v>56</v>
      </c>
      <c r="B32" s="11">
        <f>B27*C3*B29</f>
        <v>0.93201696143999979</v>
      </c>
      <c r="C32" s="11"/>
      <c r="D32" s="11"/>
      <c r="E32" s="11"/>
      <c r="F32" s="11"/>
      <c r="G32" s="11"/>
      <c r="H32" s="11"/>
    </row>
    <row r="33" spans="1:28">
      <c r="A33" s="14"/>
    </row>
    <row r="34" spans="1:28">
      <c r="A34" s="14"/>
      <c r="E34" s="15"/>
    </row>
    <row r="35" spans="1:28">
      <c r="A35" s="14"/>
      <c r="E35" s="15"/>
    </row>
    <row r="36" spans="1:28">
      <c r="A36" s="14"/>
    </row>
    <row r="37" spans="1:28">
      <c r="A37" s="14"/>
    </row>
    <row r="38" spans="1:28">
      <c r="A38" s="14"/>
    </row>
    <row r="39" spans="1:28">
      <c r="A39" s="14"/>
    </row>
    <row r="40" spans="1:28">
      <c r="A40" s="14"/>
    </row>
    <row r="41" spans="1:28">
      <c r="A41" s="14"/>
    </row>
    <row r="42" spans="1:28">
      <c r="A42" s="14"/>
    </row>
    <row r="43" spans="1:28">
      <c r="A43" s="14"/>
    </row>
    <row r="44" spans="1:28">
      <c r="A44" s="14"/>
    </row>
    <row r="45" spans="1:28">
      <c r="A45" s="14"/>
    </row>
    <row r="46" spans="1:28">
      <c r="A46" s="14"/>
    </row>
    <row r="47" spans="1:28">
      <c r="A47" s="14" t="s">
        <v>57</v>
      </c>
    </row>
    <row r="48" spans="1:28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</row>
    <row r="49" spans="1:28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</row>
    <row r="50" spans="1:28">
      <c r="A50" s="19" t="s">
        <v>58</v>
      </c>
      <c r="B50" s="20"/>
      <c r="C50" s="3">
        <v>178.28</v>
      </c>
    </row>
    <row r="51" spans="1:28">
      <c r="A51" s="3" t="s">
        <v>59</v>
      </c>
      <c r="B51" s="3">
        <f>(B2*998)*4.186</f>
        <v>16710.511999999999</v>
      </c>
      <c r="D51" s="3" t="s">
        <v>60</v>
      </c>
      <c r="E51" s="3">
        <f>B52/B51</f>
        <v>0.88404328963708589</v>
      </c>
    </row>
    <row r="52" spans="1:28">
      <c r="A52" s="3" t="s">
        <v>61</v>
      </c>
      <c r="B52" s="3">
        <f>(B3*B59)*B62</f>
        <v>14772.815999999999</v>
      </c>
    </row>
    <row r="53" spans="1:28">
      <c r="F53" s="3" t="s">
        <v>62</v>
      </c>
      <c r="G53" s="3">
        <f>10*C4</f>
        <v>9.5249999999999987E-2</v>
      </c>
    </row>
    <row r="54" spans="1:28">
      <c r="J54" s="3">
        <v>397</v>
      </c>
    </row>
    <row r="58" spans="1:28">
      <c r="A58" s="3" t="s">
        <v>63</v>
      </c>
      <c r="F58" s="3" t="s">
        <v>40</v>
      </c>
      <c r="G58" s="3" t="e">
        <f>((F16/8)*(B16-1000)*D61)/((1+12.7)*(F16/8)^(1/2)*(D61^(2/3)-1))</f>
        <v>#DIV/0!</v>
      </c>
    </row>
    <row r="59" spans="1:28">
      <c r="A59" s="3" t="s">
        <v>64</v>
      </c>
      <c r="B59" s="3">
        <v>1038</v>
      </c>
      <c r="F59" s="3" t="s">
        <v>65</v>
      </c>
      <c r="G59" s="3" t="e">
        <f>(G58*B61)/C4</f>
        <v>#DIV/0!</v>
      </c>
    </row>
    <row r="60" spans="1:28">
      <c r="A60" s="3" t="s">
        <v>66</v>
      </c>
      <c r="B60" s="3">
        <f>B3*B59</f>
        <v>4152</v>
      </c>
      <c r="C60" s="3" t="s">
        <v>67</v>
      </c>
      <c r="D60" s="3">
        <v>5.0499999999999998E-3</v>
      </c>
    </row>
    <row r="61" spans="1:28">
      <c r="A61" s="3" t="s">
        <v>68</v>
      </c>
      <c r="B61" s="3">
        <v>0.39300000000000002</v>
      </c>
      <c r="C61" s="3" t="s">
        <v>55</v>
      </c>
      <c r="D61" s="3">
        <v>51.83</v>
      </c>
    </row>
    <row r="62" spans="1:28">
      <c r="A62" s="3" t="s">
        <v>69</v>
      </c>
      <c r="B62" s="3">
        <f>3.558</f>
        <v>3.5579999999999998</v>
      </c>
    </row>
    <row r="64" spans="1:28">
      <c r="A64" s="3" t="s">
        <v>70</v>
      </c>
      <c r="C64" s="3" t="s">
        <v>71</v>
      </c>
      <c r="D64" s="3">
        <v>998</v>
      </c>
      <c r="G64" s="3" t="s">
        <v>40</v>
      </c>
      <c r="H64" s="3">
        <f>0.683*(D67^0.466)*D66^0.33</f>
        <v>25.951534045326962</v>
      </c>
      <c r="I64" s="3">
        <v>4.3600000000000003</v>
      </c>
    </row>
    <row r="65" spans="1:17">
      <c r="A65" s="3" t="s">
        <v>68</v>
      </c>
      <c r="B65" s="3">
        <v>0.59799999999999998</v>
      </c>
      <c r="C65" s="3" t="s">
        <v>72</v>
      </c>
      <c r="D65" s="3">
        <v>0.89</v>
      </c>
      <c r="E65" s="3">
        <f>D65*0.001</f>
        <v>8.9000000000000006E-4</v>
      </c>
      <c r="G65" s="3" t="s">
        <v>73</v>
      </c>
      <c r="H65" s="3">
        <f>($H$64*B65)/0.00735*0.6</f>
        <v>1266.8585599269816</v>
      </c>
    </row>
    <row r="66" spans="1:17">
      <c r="C66" s="3" t="s">
        <v>55</v>
      </c>
      <c r="D66" s="3">
        <v>13.6</v>
      </c>
    </row>
    <row r="67" spans="1:17">
      <c r="C67" s="3" t="s">
        <v>74</v>
      </c>
      <c r="D67" s="3">
        <v>386.62</v>
      </c>
      <c r="I67" s="3" t="s">
        <v>75</v>
      </c>
      <c r="J67" s="3" t="e">
        <f>(H2/H1)*(1/G59)</f>
        <v>#VALUE!</v>
      </c>
      <c r="L67" s="3" t="s">
        <v>76</v>
      </c>
      <c r="M67" s="3" t="e">
        <f>1/(J67+J68+J69)</f>
        <v>#VALUE!</v>
      </c>
    </row>
    <row r="68" spans="1:17">
      <c r="B68" s="3"/>
      <c r="I68" s="3" t="s">
        <v>77</v>
      </c>
      <c r="J68" s="3" t="e">
        <f>(H2*LN(F4/C4))/(2*3.14*F1*J54)</f>
        <v>#VALUE!</v>
      </c>
      <c r="L68" s="3" t="s">
        <v>78</v>
      </c>
      <c r="M68" s="3" t="e">
        <f>(M67*H2)/B52</f>
        <v>#VALUE!</v>
      </c>
    </row>
    <row r="69" spans="1:17">
      <c r="B69" s="3">
        <f>D64*B3</f>
        <v>3992</v>
      </c>
      <c r="I69" s="3" t="s">
        <v>79</v>
      </c>
      <c r="J69" s="3">
        <f>1/H65</f>
        <v>7.8935410126418327E-4</v>
      </c>
    </row>
    <row r="71" spans="1:17">
      <c r="J71" s="3">
        <v>3</v>
      </c>
      <c r="L71" s="3" t="s">
        <v>80</v>
      </c>
      <c r="M71" s="3">
        <f>1+E51</f>
        <v>1.884043289637086</v>
      </c>
      <c r="N71" s="18">
        <f>((1+E51^2)^(1/2))</f>
        <v>1.3347406257218519</v>
      </c>
      <c r="O71" s="3" t="e">
        <f>N71*(N72/N73)</f>
        <v>#VALUE!</v>
      </c>
      <c r="P71" s="3" t="e">
        <f>O71+M71</f>
        <v>#VALUE!</v>
      </c>
      <c r="Q71" s="3" t="e">
        <f>2*(P71)^-1</f>
        <v>#VALUE!</v>
      </c>
    </row>
    <row r="72" spans="1:17">
      <c r="L72" s="3" t="s">
        <v>81</v>
      </c>
      <c r="M72" s="3" t="e">
        <f>((1+EXP((-M68)*(1+E51^2)^(1/2))))</f>
        <v>#VALUE!</v>
      </c>
      <c r="N72" s="3" t="e">
        <f>1+EXP(M73)</f>
        <v>#VALUE!</v>
      </c>
    </row>
    <row r="73" spans="1:17">
      <c r="K73" s="3" t="s">
        <v>82</v>
      </c>
      <c r="L73" s="3" t="s">
        <v>83</v>
      </c>
      <c r="M73" s="3" t="e">
        <f>-M68*(1+E51^2)^(1/2)</f>
        <v>#VALUE!</v>
      </c>
      <c r="N73" s="3" t="e">
        <f>1-EXP(M73)</f>
        <v>#VALUE!</v>
      </c>
    </row>
    <row r="75" spans="1:17">
      <c r="L75" s="3" t="e">
        <f>2*(M71*(M72/M73))^-1</f>
        <v>#VALUE!</v>
      </c>
    </row>
    <row r="76" spans="1:17">
      <c r="L76" s="3" t="e">
        <f>24*L75</f>
        <v>#VALUE!</v>
      </c>
      <c r="M76" s="3" t="e">
        <f>24-L76</f>
        <v>#VALUE!</v>
      </c>
    </row>
    <row r="77" spans="1:17">
      <c r="G77" s="15"/>
    </row>
    <row r="79" spans="1:17">
      <c r="G79" s="15"/>
    </row>
  </sheetData>
  <mergeCells count="8">
    <mergeCell ref="J17:K17"/>
    <mergeCell ref="A26:H26"/>
    <mergeCell ref="J26:M26"/>
    <mergeCell ref="A50:B50"/>
    <mergeCell ref="A1:C1"/>
    <mergeCell ref="E1:F1"/>
    <mergeCell ref="H1:I1"/>
    <mergeCell ref="A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9396645F46748A81322C12F250A4A" ma:contentTypeVersion="4" ma:contentTypeDescription="Create a new document." ma:contentTypeScope="" ma:versionID="031a4d9f14cb2464c9dece0b93f9bc8b">
  <xsd:schema xmlns:xsd="http://www.w3.org/2001/XMLSchema" xmlns:xs="http://www.w3.org/2001/XMLSchema" xmlns:p="http://schemas.microsoft.com/office/2006/metadata/properties" xmlns:ns2="582fa5d2-bece-4aea-9f77-927244515e54" targetNamespace="http://schemas.microsoft.com/office/2006/metadata/properties" ma:root="true" ma:fieldsID="edd41532aebb768eae09b5d4c27a3f45" ns2:_="">
    <xsd:import namespace="582fa5d2-bece-4aea-9f77-927244515e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2fa5d2-bece-4aea-9f77-927244515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E5B289-C44E-4776-8E3A-CF73168455CA}">
  <ds:schemaRefs>
    <ds:schemaRef ds:uri="http://purl.org/dc/elements/1.1/"/>
    <ds:schemaRef ds:uri="http://purl.org/dc/dcmitype/"/>
    <ds:schemaRef ds:uri="http://schemas.microsoft.com/office/2006/metadata/properties"/>
    <ds:schemaRef ds:uri="24e91072-de7f-44ae-978a-f34f239c3490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CAD9510-0F67-475E-BC40-0B6AF22AE6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7A0805-BC45-44AD-A9F7-B758E132A0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Prototype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 F Vios</dc:creator>
  <cp:lastModifiedBy>Lorenz F Vios</cp:lastModifiedBy>
  <dcterms:created xsi:type="dcterms:W3CDTF">2023-11-17T21:56:46Z</dcterms:created>
  <dcterms:modified xsi:type="dcterms:W3CDTF">2023-12-09T22:42:38Z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0x0101008AD9396645F46748A81322C12F250A4A</vt:lpwstr>
  </property>
</Properties>
</file>