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24731\Desktop\"/>
    </mc:Choice>
  </mc:AlternateContent>
  <xr:revisionPtr revIDLastSave="0" documentId="8_{2E81220C-9026-48EB-8156-E290E7C844A1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Sheet2" sheetId="2" state="hidden" r:id="rId1"/>
    <sheet name="Sheet1" sheetId="4" r:id="rId2"/>
    <sheet name="Sheet3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4" l="1"/>
  <c r="G29" i="4"/>
  <c r="F20" i="4"/>
  <c r="F19" i="4"/>
  <c r="D2" i="3" l="1"/>
  <c r="D3" i="3"/>
  <c r="D4" i="3"/>
  <c r="D5" i="3"/>
  <c r="D6" i="3"/>
  <c r="D1" i="3"/>
  <c r="A9" i="3"/>
  <c r="C2" i="3"/>
  <c r="C3" i="3"/>
  <c r="C4" i="3"/>
  <c r="C5" i="3"/>
  <c r="C6" i="3"/>
  <c r="C1" i="3"/>
  <c r="B17" i="2"/>
  <c r="B16" i="2"/>
  <c r="B10" i="2"/>
  <c r="E3" i="2" s="1"/>
  <c r="E4" i="2" s="1"/>
  <c r="E1" i="2"/>
  <c r="E5" i="2" l="1"/>
  <c r="E2" i="2"/>
  <c r="E7" i="2" l="1"/>
  <c r="E8" i="2"/>
  <c r="E11" i="2" l="1"/>
  <c r="E10" i="2"/>
  <c r="E9" i="2"/>
  <c r="E16" i="2" l="1"/>
  <c r="E13" i="2"/>
  <c r="E15" i="2" s="1"/>
  <c r="E12" i="2"/>
  <c r="E14" i="2" s="1"/>
</calcChain>
</file>

<file path=xl/sharedStrings.xml><?xml version="1.0" encoding="utf-8"?>
<sst xmlns="http://schemas.openxmlformats.org/spreadsheetml/2006/main" count="161" uniqueCount="130">
  <si>
    <t>H</t>
  </si>
  <si>
    <t>hp</t>
  </si>
  <si>
    <t>nw</t>
  </si>
  <si>
    <t>rpm</t>
  </si>
  <si>
    <t>ng</t>
  </si>
  <si>
    <t>T</t>
  </si>
  <si>
    <t>lbfin</t>
  </si>
  <si>
    <t>Tamb</t>
  </si>
  <si>
    <t>F</t>
  </si>
  <si>
    <t>r</t>
  </si>
  <si>
    <t>in</t>
  </si>
  <si>
    <t>dw</t>
  </si>
  <si>
    <t>dg</t>
  </si>
  <si>
    <t>px</t>
  </si>
  <si>
    <t>Nw</t>
  </si>
  <si>
    <t>Ng</t>
  </si>
  <si>
    <t>φn</t>
  </si>
  <si>
    <t>a</t>
  </si>
  <si>
    <t>b</t>
  </si>
  <si>
    <t>c</t>
  </si>
  <si>
    <t>n</t>
  </si>
  <si>
    <t>degree</t>
  </si>
  <si>
    <t>P</t>
  </si>
  <si>
    <t>teeth/in</t>
  </si>
  <si>
    <t>ft/min</t>
  </si>
  <si>
    <t>V_w</t>
  </si>
  <si>
    <t>W_wt</t>
  </si>
  <si>
    <t>lbf</t>
  </si>
  <si>
    <t>L</t>
  </si>
  <si>
    <t>λ</t>
  </si>
  <si>
    <t>V_s</t>
  </si>
  <si>
    <t>f</t>
  </si>
  <si>
    <t>W</t>
  </si>
  <si>
    <t>Wx</t>
  </si>
  <si>
    <t>Wy</t>
  </si>
  <si>
    <t>Wz</t>
  </si>
  <si>
    <t>FBX</t>
  </si>
  <si>
    <t>FBY</t>
  </si>
  <si>
    <t>FBZ</t>
  </si>
  <si>
    <t>FAY</t>
  </si>
  <si>
    <t>FAZ</t>
  </si>
  <si>
    <t>ng_suppose</t>
  </si>
  <si>
    <t>30-35</t>
    <phoneticPr fontId="1" type="noConversion"/>
  </si>
  <si>
    <t>Testing part</t>
    <phoneticPr fontId="1" type="noConversion"/>
  </si>
  <si>
    <t>Tool</t>
    <phoneticPr fontId="1" type="noConversion"/>
  </si>
  <si>
    <t>Load cell</t>
    <phoneticPr fontId="1" type="noConversion"/>
  </si>
  <si>
    <t>Circuit part</t>
    <phoneticPr fontId="1" type="noConversion"/>
  </si>
  <si>
    <t>Part #</t>
  </si>
  <si>
    <t>Part Name</t>
  </si>
  <si>
    <t>Qty</t>
  </si>
  <si>
    <t>Description</t>
  </si>
  <si>
    <t>Cost per Unit</t>
  </si>
  <si>
    <t>Total Cost</t>
  </si>
  <si>
    <t>Link to Cost estimate</t>
  </si>
  <si>
    <t>Aluminum bar</t>
    <phoneticPr fontId="1" type="noConversion"/>
  </si>
  <si>
    <t>Initial load cell forl bending testing</t>
    <phoneticPr fontId="1" type="noConversion"/>
  </si>
  <si>
    <t>Amazon.com: 3 Pieces of 1" X1"Square Aluminum BAR 8" Long +0/ -.05"6061 General Purpose Plate,T6511 Solid New Mill Stock : Industrial &amp; Scientific</t>
  </si>
  <si>
    <t>C-clamp</t>
    <phoneticPr fontId="1" type="noConversion"/>
  </si>
  <si>
    <t>Initial clamp for bending testing</t>
    <phoneticPr fontId="1" type="noConversion"/>
  </si>
  <si>
    <t>CAMVATE Aluminum C-Clamp with 1/4"-20 &amp; 3/8"-16 Female Socket for Tables Desk Mount(2 Pieces) - - Amazon.com</t>
  </si>
  <si>
    <t>Table clamp for bending</t>
    <phoneticPr fontId="1" type="noConversion"/>
  </si>
  <si>
    <t>To clamp the bending part</t>
    <phoneticPr fontId="1" type="noConversion"/>
  </si>
  <si>
    <t>https://www.amazon.com/dp/B077XXQG41?psc=1&amp;ref=ppx_yo2_dt_b_product_details</t>
  </si>
  <si>
    <t>Strain gauge</t>
    <phoneticPr fontId="1" type="noConversion"/>
  </si>
  <si>
    <t>Measure strain by resistance change</t>
  </si>
  <si>
    <t>Brass bar</t>
    <phoneticPr fontId="1" type="noConversion"/>
  </si>
  <si>
    <t>Apply force for torsion part</t>
    <phoneticPr fontId="1" type="noConversion"/>
  </si>
  <si>
    <t>https://www.amazon.com/dp/B07X87CJD8?psc=1&amp;ref=ppx_yo2_dt_b_product_details</t>
  </si>
  <si>
    <t>https://www.amazon.com/dp/B07BWDHV2J?psc=1&amp;ref=ppx_yo2_dt_b_product_details</t>
  </si>
  <si>
    <t>Bar clamp</t>
    <phoneticPr fontId="1" type="noConversion"/>
  </si>
  <si>
    <t>Mini bar clamp</t>
    <phoneticPr fontId="1" type="noConversion"/>
  </si>
  <si>
    <t>To clamp bar for torsion part</t>
    <phoneticPr fontId="1" type="noConversion"/>
  </si>
  <si>
    <t>https://www.amazon.com/dp/B082XKJX83?ref=ppx_yo2_dt_b_product_details&amp;th=1</t>
  </si>
  <si>
    <t>https://www.amazon.com/dp/B082XKHYXL?ref=ppx_yo2_dt_b_product_details&amp;th=1</t>
  </si>
  <si>
    <t>350ohm resistor</t>
    <phoneticPr fontId="1" type="noConversion"/>
  </si>
  <si>
    <t>https://www.amazon.com/dp/B00HKSKBO0?psc=1&amp;ref=ppx_yo2_dt_b_product_details</t>
  </si>
  <si>
    <t>350ohm</t>
    <phoneticPr fontId="1" type="noConversion"/>
  </si>
  <si>
    <t>To assemble the circuit shell</t>
    <phoneticPr fontId="1" type="noConversion"/>
  </si>
  <si>
    <t>https://www.amazon.com/dp/B092XJXLVM?ref=ppx_yo2_dt_b_product_details&amp;th=1</t>
  </si>
  <si>
    <t>Hook</t>
    <phoneticPr fontId="1" type="noConversion"/>
  </si>
  <si>
    <t>Apply force for axial part</t>
    <phoneticPr fontId="1" type="noConversion"/>
  </si>
  <si>
    <t>https://www.amazon.com/dp/B005NWFX3O?psc=1&amp;ref=ppx_yo2_dt_b_product_details</t>
  </si>
  <si>
    <t>Coping Saw</t>
  </si>
  <si>
    <t>Cut the plastic board</t>
    <phoneticPr fontId="1" type="noConversion"/>
  </si>
  <si>
    <t>https://www.amazon.com/dp/B000ALF4FA?psc=1&amp;ref=ppx_yo2_dt_b_product_details</t>
  </si>
  <si>
    <t>Dupont wire 120pcs</t>
    <phoneticPr fontId="1" type="noConversion"/>
  </si>
  <si>
    <t>Connect the circuit</t>
    <phoneticPr fontId="1" type="noConversion"/>
  </si>
  <si>
    <t>Insulation tape</t>
    <phoneticPr fontId="1" type="noConversion"/>
  </si>
  <si>
    <t>To fix the circuit</t>
    <phoneticPr fontId="1" type="noConversion"/>
  </si>
  <si>
    <t>https://www.amazon.com/dp/B07PDRY2T2?psc=1&amp;ref=ppx_yo2_dt_b_product_details</t>
  </si>
  <si>
    <t>https://www.amazon.com/dp/B0899QVSY1?ref=ppx_yo2_dt_b_product_details&amp;th=1</t>
  </si>
  <si>
    <t>Plastic sheets(Thick)</t>
    <phoneticPr fontId="1" type="noConversion"/>
  </si>
  <si>
    <t>Plastic sheets(Thin)</t>
    <phoneticPr fontId="1" type="noConversion"/>
  </si>
  <si>
    <t>https://www.amazon.com/dp/B088NCVBTN?ref=ppx_yo2_dt_b_product_details&amp;th=1</t>
  </si>
  <si>
    <t>Table clamp for axial load</t>
    <phoneticPr fontId="1" type="noConversion"/>
  </si>
  <si>
    <t>To clamp the axial part</t>
    <phoneticPr fontId="1" type="noConversion"/>
  </si>
  <si>
    <t>Table clamp for torsion</t>
    <phoneticPr fontId="1" type="noConversion"/>
  </si>
  <si>
    <t>To clamp the torsion part</t>
    <phoneticPr fontId="1" type="noConversion"/>
  </si>
  <si>
    <t>https://www.amazon.com/dp/B08LL1SQSW?psc=1&amp;ref=ppx_yo2_dt_b_product_details</t>
  </si>
  <si>
    <t>Hanging scale</t>
    <phoneticPr fontId="1" type="noConversion"/>
  </si>
  <si>
    <t>To test the different apply on load cell</t>
    <phoneticPr fontId="1" type="noConversion"/>
  </si>
  <si>
    <t>https://www.amazon.com/dp/B078KP5YGP?psc=1&amp;ref=ppx_yo2_dt_b_product_details</t>
  </si>
  <si>
    <t>Cable Gland</t>
  </si>
  <si>
    <t>To gather the wire</t>
    <phoneticPr fontId="1" type="noConversion"/>
  </si>
  <si>
    <t>https://www.amazon.com/dp/B08ZJ2C25X?psc=1&amp;ref=ppx_yo2_dt_b_product_details</t>
  </si>
  <si>
    <t>https://www.amazon.com/gp/product/B07D7828LC/ref=ppx_yo_dt_b_asin_title_o02_s00?ie=UTF8&amp;psc=1</t>
  </si>
  <si>
    <t>Nylon Hex Spacer</t>
  </si>
  <si>
    <t>To prevent circuit touch the board</t>
    <phoneticPr fontId="1" type="noConversion"/>
  </si>
  <si>
    <t>Arduino R3 board</t>
  </si>
  <si>
    <t>Bread board</t>
    <phoneticPr fontId="1" type="noConversion"/>
  </si>
  <si>
    <t>Microcontroller board</t>
  </si>
  <si>
    <t>HX711</t>
    <phoneticPr fontId="1" type="noConversion"/>
  </si>
  <si>
    <t>A thin plastic board used to hold electronic components</t>
  </si>
  <si>
    <t>ADC</t>
    <phoneticPr fontId="1" type="noConversion"/>
  </si>
  <si>
    <t>exist</t>
    <phoneticPr fontId="1" type="noConversion"/>
  </si>
  <si>
    <t>Soldering Iron Kit</t>
  </si>
  <si>
    <t>Soldering</t>
  </si>
  <si>
    <t>Aluminum shim</t>
    <phoneticPr fontId="1" type="noConversion"/>
  </si>
  <si>
    <t>Axial part</t>
    <phoneticPr fontId="1" type="noConversion"/>
  </si>
  <si>
    <t>https://www.amazon.com/dp/B00HQNOEL0?psc=1&amp;ref=ppx_yo2_dt_b_product_details</t>
  </si>
  <si>
    <t>Aluminum hollow bar</t>
    <phoneticPr fontId="1" type="noConversion"/>
  </si>
  <si>
    <t>Aluminum board</t>
    <phoneticPr fontId="1" type="noConversion"/>
  </si>
  <si>
    <t>torsion part</t>
    <phoneticPr fontId="1" type="noConversion"/>
  </si>
  <si>
    <t>bending part</t>
    <phoneticPr fontId="1" type="noConversion"/>
  </si>
  <si>
    <t>Provided by Machine shop</t>
    <phoneticPr fontId="1" type="noConversion"/>
  </si>
  <si>
    <t>Super glue</t>
    <phoneticPr fontId="1" type="noConversion"/>
  </si>
  <si>
    <t>To stick the strain gauge</t>
    <phoneticPr fontId="1" type="noConversion"/>
  </si>
  <si>
    <t xml:space="preserve">Total </t>
    <phoneticPr fontId="1" type="noConversion"/>
  </si>
  <si>
    <t>4.10</t>
    <phoneticPr fontId="1" type="noConversion"/>
  </si>
  <si>
    <t>3.10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</si>
</sst>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0"/>
      <color theme="1"/>
      <name val="Verdana"/>
      <family val="2"/>
    </font>
    <font>
      <u/>
      <sz val="11"/>
      <color theme="10"/>
      <name val="等线"/>
      <family val="2"/>
      <scheme val="minor"/>
    </font>
    <font>
      <sz val="10"/>
      <color theme="1"/>
      <name val="Verdana"/>
      <family val="2"/>
    </font>
    <font>
      <b/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5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" xfId="0" applyBorder="1" applyAlignment="1">
      <alignment horizontal="right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/>
    <xf numFmtId="0" fontId="0" fillId="0" borderId="0" xfId="0" applyBorder="1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right"/>
    </xf>
    <xf numFmtId="0" fontId="3" fillId="0" borderId="0" xfId="1" applyBorder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49" fontId="0" fillId="0" borderId="0" xfId="0" applyNumberFormat="1" applyBorder="1" applyAlignment="1">
      <alignment horizontal="right"/>
    </xf>
    <xf numFmtId="49" fontId="0" fillId="0" borderId="0" xfId="0" applyNumberFormat="1" applyFill="1" applyBorder="1" applyAlignment="1">
      <alignment horizontal="right"/>
    </xf>
    <xf numFmtId="2" fontId="0" fillId="0" borderId="0" xfId="0" applyNumberFormat="1" applyBorder="1" applyAlignment="1">
      <alignment horizontal="right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zh-CN"/>
                </a:p>
              </c:txPr>
            </c:trendlineLbl>
          </c:trendline>
          <c:xVal>
            <c:numRef>
              <c:f>Sheet3!$A$1:$A$6</c:f>
              <c:numCache>
                <c:formatCode>General</c:formatCode>
                <c:ptCount val="6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</c:numCache>
            </c:numRef>
          </c:xVal>
          <c:yVal>
            <c:numRef>
              <c:f>Sheet3!$D$1:$D$6</c:f>
              <c:numCache>
                <c:formatCode>General</c:formatCode>
                <c:ptCount val="6"/>
                <c:pt idx="0">
                  <c:v>0</c:v>
                </c:pt>
                <c:pt idx="1">
                  <c:v>-0.28620168728134671</c:v>
                </c:pt>
                <c:pt idx="2">
                  <c:v>-0.57191331574582893</c:v>
                </c:pt>
                <c:pt idx="3">
                  <c:v>-0.85697415471773553</c:v>
                </c:pt>
                <c:pt idx="4">
                  <c:v>-1.139434283188365</c:v>
                </c:pt>
                <c:pt idx="5">
                  <c:v>-1.4271163556401461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000-43B5-99F2-A3613901F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06225104"/>
        <c:axId val="1506226352"/>
      </c:scatterChart>
      <c:valAx>
        <c:axId val="1506225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506226352"/>
        <c:crosses val="autoZero"/>
        <c:crossBetween val="midCat"/>
      </c:valAx>
      <c:valAx>
        <c:axId val="150622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5062251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452437</xdr:colOff>
      <xdr:row>4</xdr:row>
      <xdr:rowOff>28575</xdr:rowOff>
    </xdr:from>
    <xdr:to>
      <xdr:col>11</xdr:col>
      <xdr:colOff>223837</xdr:colOff>
      <xdr:row>19</xdr:row>
      <xdr:rowOff>57150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AED13114-F7B0-4FCD-9A8B-A06C141361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mazon.com/dp/B00HKSKBO0?psc=1&amp;ref=ppx_yo2_dt_b_product_details" TargetMode="External"/><Relationship Id="rId13" Type="http://schemas.openxmlformats.org/officeDocument/2006/relationships/hyperlink" Target="https://www.amazon.com/dp/B088NCVBTN?ref=ppx_yo2_dt_b_product_details&amp;th=1" TargetMode="External"/><Relationship Id="rId18" Type="http://schemas.openxmlformats.org/officeDocument/2006/relationships/hyperlink" Target="https://www.amazon.com/dp/B00HQNOEL0?psc=1&amp;ref=ppx_yo2_dt_b_product_details" TargetMode="External"/><Relationship Id="rId3" Type="http://schemas.openxmlformats.org/officeDocument/2006/relationships/hyperlink" Target="https://www.amazon.com/dp/B077XXQG41?psc=1&amp;ref=ppx_yo2_dt_b_product_details" TargetMode="External"/><Relationship Id="rId7" Type="http://schemas.openxmlformats.org/officeDocument/2006/relationships/hyperlink" Target="https://www.amazon.com/dp/B082XKHYXL?ref=ppx_yo2_dt_b_product_details&amp;th=1" TargetMode="External"/><Relationship Id="rId12" Type="http://schemas.openxmlformats.org/officeDocument/2006/relationships/hyperlink" Target="https://www.amazon.com/dp/B0899QVSY1?ref=ppx_yo2_dt_b_product_details&amp;th=1" TargetMode="External"/><Relationship Id="rId17" Type="http://schemas.openxmlformats.org/officeDocument/2006/relationships/hyperlink" Target="https://www.amazon.com/gp/product/B07D7828LC/ref=ppx_yo_dt_b_asin_title_o02_s00?ie=UTF8&amp;psc=1" TargetMode="External"/><Relationship Id="rId2" Type="http://schemas.openxmlformats.org/officeDocument/2006/relationships/hyperlink" Target="https://www.amazon.com/dp/B08CZPZ9GJ?ref=ppx_pop_mob_ap_share" TargetMode="External"/><Relationship Id="rId16" Type="http://schemas.openxmlformats.org/officeDocument/2006/relationships/hyperlink" Target="https://www.amazon.com/dp/B08ZJ2C25X?psc=1&amp;ref=ppx_yo2_dt_b_product_details" TargetMode="External"/><Relationship Id="rId1" Type="http://schemas.openxmlformats.org/officeDocument/2006/relationships/hyperlink" Target="https://www.amazon.com/dp/B08PPWN948?ref=ppx_pop_mob_ap_share" TargetMode="External"/><Relationship Id="rId6" Type="http://schemas.openxmlformats.org/officeDocument/2006/relationships/hyperlink" Target="https://www.amazon.com/dp/B082XKJX83?ref=ppx_yo2_dt_b_product_details&amp;th=1" TargetMode="External"/><Relationship Id="rId11" Type="http://schemas.openxmlformats.org/officeDocument/2006/relationships/hyperlink" Target="https://www.amazon.com/dp/B07PDRY2T2?psc=1&amp;ref=ppx_yo2_dt_b_product_details" TargetMode="External"/><Relationship Id="rId5" Type="http://schemas.openxmlformats.org/officeDocument/2006/relationships/hyperlink" Target="https://www.amazon.com/dp/B07BWDHV2J?psc=1&amp;ref=ppx_yo2_dt_b_product_details" TargetMode="External"/><Relationship Id="rId15" Type="http://schemas.openxmlformats.org/officeDocument/2006/relationships/hyperlink" Target="https://www.amazon.com/dp/B078KP5YGP?psc=1&amp;ref=ppx_yo2_dt_b_product_details" TargetMode="External"/><Relationship Id="rId10" Type="http://schemas.openxmlformats.org/officeDocument/2006/relationships/hyperlink" Target="https://www.amazon.com/dp/B005NWFX3O?psc=1&amp;ref=ppx_yo2_dt_b_product_details" TargetMode="External"/><Relationship Id="rId19" Type="http://schemas.openxmlformats.org/officeDocument/2006/relationships/hyperlink" Target="https://www.amazon.com/dp/B00HQNOEL0?psc=1&amp;ref=ppx_yo2_dt_b_product_details" TargetMode="External"/><Relationship Id="rId4" Type="http://schemas.openxmlformats.org/officeDocument/2006/relationships/hyperlink" Target="https://www.amazon.com/dp/B07X87CJD8?psc=1&amp;ref=ppx_yo2_dt_b_product_details" TargetMode="External"/><Relationship Id="rId9" Type="http://schemas.openxmlformats.org/officeDocument/2006/relationships/hyperlink" Target="https://www.amazon.com/dp/B092XJXLVM?ref=ppx_yo2_dt_b_product_details&amp;th=1" TargetMode="External"/><Relationship Id="rId14" Type="http://schemas.openxmlformats.org/officeDocument/2006/relationships/hyperlink" Target="https://www.amazon.com/dp/B08LL1SQSW?psc=1&amp;ref=ppx_yo2_dt_b_product_detail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6CC5C-EF92-4ACC-8D0E-BDF647E7E25D}">
  <dimension ref="A1:F17"/>
  <sheetViews>
    <sheetView workbookViewId="0">
      <selection sqref="A1:F17"/>
    </sheetView>
  </sheetViews>
  <sheetFormatPr defaultRowHeight="14.25" x14ac:dyDescent="0.2"/>
  <sheetData>
    <row r="1" spans="1:6" x14ac:dyDescent="0.2">
      <c r="A1" s="3" t="s">
        <v>0</v>
      </c>
      <c r="B1" s="4">
        <v>0.7</v>
      </c>
      <c r="C1" s="4" t="s">
        <v>1</v>
      </c>
      <c r="D1" s="4" t="s">
        <v>25</v>
      </c>
      <c r="E1" s="4">
        <f>PI()*B7*B2/12</f>
        <v>1806.4157758141309</v>
      </c>
      <c r="F1" s="5" t="s">
        <v>24</v>
      </c>
    </row>
    <row r="2" spans="1:6" x14ac:dyDescent="0.2">
      <c r="A2" s="6" t="s">
        <v>2</v>
      </c>
      <c r="B2" s="1">
        <v>1725</v>
      </c>
      <c r="C2" s="1" t="s">
        <v>3</v>
      </c>
      <c r="D2" s="1" t="s">
        <v>26</v>
      </c>
      <c r="E2" s="1">
        <f>33000*B1/E1</f>
        <v>12.78775368842707</v>
      </c>
      <c r="F2" s="7" t="s">
        <v>27</v>
      </c>
    </row>
    <row r="3" spans="1:6" x14ac:dyDescent="0.2">
      <c r="A3" s="6" t="s">
        <v>4</v>
      </c>
      <c r="B3" s="12" t="s">
        <v>42</v>
      </c>
      <c r="C3" s="1" t="s">
        <v>3</v>
      </c>
      <c r="D3" s="1" t="s">
        <v>28</v>
      </c>
      <c r="E3" s="1">
        <f>B10*B11</f>
        <v>1.0471975511965976</v>
      </c>
      <c r="F3" s="7" t="s">
        <v>10</v>
      </c>
    </row>
    <row r="4" spans="1:6" x14ac:dyDescent="0.2">
      <c r="A4" s="6" t="s">
        <v>5</v>
      </c>
      <c r="B4" s="1">
        <v>4100</v>
      </c>
      <c r="C4" s="1" t="s">
        <v>6</v>
      </c>
      <c r="D4" s="1" t="s">
        <v>29</v>
      </c>
      <c r="E4" s="1">
        <f>ATAN(E3/(PI()*B7))*180/PI()</f>
        <v>4.7636416907261774</v>
      </c>
      <c r="F4" s="7" t="s">
        <v>21</v>
      </c>
    </row>
    <row r="5" spans="1:6" x14ac:dyDescent="0.2">
      <c r="A5" s="6" t="s">
        <v>7</v>
      </c>
      <c r="B5" s="1">
        <v>120</v>
      </c>
      <c r="C5" s="1" t="s">
        <v>8</v>
      </c>
      <c r="D5" s="1" t="s">
        <v>30</v>
      </c>
      <c r="E5" s="1">
        <f>E1/COS(E4/180*PI())</f>
        <v>1812.677201090693</v>
      </c>
      <c r="F5" s="7" t="s">
        <v>24</v>
      </c>
    </row>
    <row r="6" spans="1:6" x14ac:dyDescent="0.2">
      <c r="A6" s="6" t="s">
        <v>9</v>
      </c>
      <c r="B6" s="1">
        <v>6</v>
      </c>
      <c r="C6" s="1" t="s">
        <v>10</v>
      </c>
      <c r="D6" s="1" t="s">
        <v>31</v>
      </c>
      <c r="E6" s="1">
        <v>0.02</v>
      </c>
      <c r="F6" s="7"/>
    </row>
    <row r="7" spans="1:6" x14ac:dyDescent="0.2">
      <c r="A7" s="8" t="s">
        <v>11</v>
      </c>
      <c r="B7" s="2">
        <v>4</v>
      </c>
      <c r="C7" s="2" t="s">
        <v>10</v>
      </c>
      <c r="D7" s="1" t="s">
        <v>32</v>
      </c>
      <c r="E7" s="1">
        <f>E2/(COS(B13*PI()/180)*SIN(E4*PI()/180)+E6*COS(E4*PI()/180))</f>
        <v>127.45540391181223</v>
      </c>
      <c r="F7" s="7" t="s">
        <v>27</v>
      </c>
    </row>
    <row r="8" spans="1:6" x14ac:dyDescent="0.2">
      <c r="A8" s="8" t="s">
        <v>12</v>
      </c>
      <c r="B8" s="2">
        <v>18</v>
      </c>
      <c r="C8" s="2" t="s">
        <v>10</v>
      </c>
      <c r="D8" s="1" t="s">
        <v>33</v>
      </c>
      <c r="E8" s="1">
        <f>E2</f>
        <v>12.78775368842707</v>
      </c>
      <c r="F8" s="7" t="s">
        <v>27</v>
      </c>
    </row>
    <row r="9" spans="1:6" x14ac:dyDescent="0.2">
      <c r="A9" s="8" t="s">
        <v>22</v>
      </c>
      <c r="B9" s="2">
        <v>3</v>
      </c>
      <c r="C9" s="2" t="s">
        <v>23</v>
      </c>
      <c r="D9" s="1" t="s">
        <v>34</v>
      </c>
      <c r="E9" s="1">
        <f>E7*SIN(B13*PI()/180)</f>
        <v>31.912284548200017</v>
      </c>
      <c r="F9" s="7" t="s">
        <v>27</v>
      </c>
    </row>
    <row r="10" spans="1:6" x14ac:dyDescent="0.2">
      <c r="A10" s="8" t="s">
        <v>13</v>
      </c>
      <c r="B10" s="2">
        <f>PI()/B9</f>
        <v>1.0471975511965976</v>
      </c>
      <c r="C10" s="2" t="s">
        <v>10</v>
      </c>
      <c r="D10" s="1" t="s">
        <v>35</v>
      </c>
      <c r="E10" s="1">
        <f>E7*(COS(B13*PI()/180)*COS(E4*PI()/180)-E6*SIN(E4*PI()/180))</f>
        <v>122.75771824547964</v>
      </c>
      <c r="F10" s="7" t="s">
        <v>27</v>
      </c>
    </row>
    <row r="11" spans="1:6" x14ac:dyDescent="0.2">
      <c r="A11" s="8" t="s">
        <v>14</v>
      </c>
      <c r="B11" s="2">
        <v>1</v>
      </c>
      <c r="C11" s="2" t="s">
        <v>20</v>
      </c>
      <c r="D11" s="1" t="s">
        <v>36</v>
      </c>
      <c r="E11" s="1">
        <f>-E8</f>
        <v>-12.78775368842707</v>
      </c>
      <c r="F11" s="7" t="s">
        <v>27</v>
      </c>
    </row>
    <row r="12" spans="1:6" x14ac:dyDescent="0.2">
      <c r="A12" s="8" t="s">
        <v>15</v>
      </c>
      <c r="B12" s="2">
        <v>54</v>
      </c>
      <c r="C12" s="2" t="s">
        <v>20</v>
      </c>
      <c r="D12" s="1" t="s">
        <v>37</v>
      </c>
      <c r="E12" s="1">
        <f>(E8*B16+E9*B14)/(B14+B15)</f>
        <v>35.137772806740614</v>
      </c>
      <c r="F12" s="7" t="s">
        <v>27</v>
      </c>
    </row>
    <row r="13" spans="1:6" x14ac:dyDescent="0.2">
      <c r="A13" s="8" t="s">
        <v>16</v>
      </c>
      <c r="B13" s="2">
        <v>14.5</v>
      </c>
      <c r="C13" s="2" t="s">
        <v>21</v>
      </c>
      <c r="D13" s="1" t="s">
        <v>38</v>
      </c>
      <c r="E13" s="1">
        <f>(E10*B14)/(B14+B15)</f>
        <v>61.378859122739819</v>
      </c>
      <c r="F13" s="7" t="s">
        <v>27</v>
      </c>
    </row>
    <row r="14" spans="1:6" x14ac:dyDescent="0.2">
      <c r="A14" s="8" t="s">
        <v>17</v>
      </c>
      <c r="B14" s="2">
        <v>3</v>
      </c>
      <c r="C14" s="2" t="s">
        <v>10</v>
      </c>
      <c r="D14" s="1" t="s">
        <v>39</v>
      </c>
      <c r="E14" s="1">
        <f>E9-E12</f>
        <v>-3.2254882585405973</v>
      </c>
      <c r="F14" s="7" t="s">
        <v>27</v>
      </c>
    </row>
    <row r="15" spans="1:6" x14ac:dyDescent="0.2">
      <c r="A15" s="8" t="s">
        <v>18</v>
      </c>
      <c r="B15" s="2">
        <v>3</v>
      </c>
      <c r="C15" s="2" t="s">
        <v>10</v>
      </c>
      <c r="D15" s="1" t="s">
        <v>40</v>
      </c>
      <c r="E15" s="1">
        <f>E10-E13</f>
        <v>61.378859122739819</v>
      </c>
      <c r="F15" s="7" t="s">
        <v>27</v>
      </c>
    </row>
    <row r="16" spans="1:6" x14ac:dyDescent="0.2">
      <c r="A16" s="8" t="s">
        <v>19</v>
      </c>
      <c r="B16" s="2">
        <f>B8/2</f>
        <v>9</v>
      </c>
      <c r="C16" s="2" t="s">
        <v>10</v>
      </c>
      <c r="D16" s="1" t="s">
        <v>5</v>
      </c>
      <c r="E16" s="1">
        <f>E10*B16</f>
        <v>1104.8194642093167</v>
      </c>
      <c r="F16" s="7" t="s">
        <v>6</v>
      </c>
    </row>
    <row r="17" spans="1:6" ht="15" thickBot="1" x14ac:dyDescent="0.25">
      <c r="A17" s="9" t="s">
        <v>41</v>
      </c>
      <c r="B17" s="10">
        <f>1725/B12</f>
        <v>31.944444444444443</v>
      </c>
      <c r="C17" s="10" t="s">
        <v>3</v>
      </c>
      <c r="D17" s="10"/>
      <c r="E17" s="10"/>
      <c r="F17" s="11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E6644-BE47-4CEE-B56E-D3B511387AFC}">
  <dimension ref="A1:H29"/>
  <sheetViews>
    <sheetView tabSelected="1" workbookViewId="0">
      <selection activeCell="G31" sqref="G31"/>
    </sheetView>
  </sheetViews>
  <sheetFormatPr defaultRowHeight="14.25" x14ac:dyDescent="0.2"/>
  <cols>
    <col min="1" max="1" width="12.375" customWidth="1"/>
    <col min="2" max="2" width="16.5" customWidth="1"/>
    <col min="3" max="3" width="22" customWidth="1"/>
    <col min="4" max="4" width="16.5" customWidth="1"/>
    <col min="5" max="5" width="47.75" customWidth="1"/>
    <col min="6" max="6" width="22.375" customWidth="1"/>
    <col min="7" max="7" width="17.375" customWidth="1"/>
    <col min="8" max="8" width="21.875" customWidth="1"/>
  </cols>
  <sheetData>
    <row r="1" spans="1:8" x14ac:dyDescent="0.2">
      <c r="A1" s="15" t="s">
        <v>43</v>
      </c>
      <c r="B1" s="16" t="s">
        <v>47</v>
      </c>
      <c r="C1" s="16" t="s">
        <v>48</v>
      </c>
      <c r="D1" s="16" t="s">
        <v>49</v>
      </c>
      <c r="E1" s="17" t="s">
        <v>50</v>
      </c>
      <c r="F1" s="18" t="s">
        <v>51</v>
      </c>
      <c r="G1" s="18" t="s">
        <v>52</v>
      </c>
      <c r="H1" s="16" t="s">
        <v>53</v>
      </c>
    </row>
    <row r="2" spans="1:8" x14ac:dyDescent="0.2">
      <c r="A2" s="15"/>
      <c r="B2" s="23">
        <v>1.1000000000000001</v>
      </c>
      <c r="C2" s="15" t="s">
        <v>54</v>
      </c>
      <c r="D2" s="15">
        <v>1</v>
      </c>
      <c r="E2" s="15" t="s">
        <v>55</v>
      </c>
      <c r="F2" s="19">
        <v>20.72</v>
      </c>
      <c r="G2" s="19">
        <v>20.72</v>
      </c>
      <c r="H2" s="20" t="s">
        <v>56</v>
      </c>
    </row>
    <row r="3" spans="1:8" x14ac:dyDescent="0.2">
      <c r="A3" s="15"/>
      <c r="B3" s="23">
        <v>1.2</v>
      </c>
      <c r="C3" s="15" t="s">
        <v>57</v>
      </c>
      <c r="D3" s="15">
        <v>1</v>
      </c>
      <c r="E3" s="15" t="s">
        <v>58</v>
      </c>
      <c r="F3" s="19">
        <v>22.69</v>
      </c>
      <c r="G3" s="19">
        <v>22.69</v>
      </c>
      <c r="H3" s="20" t="s">
        <v>59</v>
      </c>
    </row>
    <row r="4" spans="1:8" x14ac:dyDescent="0.2">
      <c r="A4" s="15" t="s">
        <v>44</v>
      </c>
      <c r="B4" s="23">
        <v>2.1</v>
      </c>
      <c r="C4" s="15" t="s">
        <v>82</v>
      </c>
      <c r="D4" s="15">
        <v>1</v>
      </c>
      <c r="E4" s="15" t="s">
        <v>83</v>
      </c>
      <c r="F4" s="19">
        <v>16.27</v>
      </c>
      <c r="G4" s="19">
        <v>16.27</v>
      </c>
      <c r="H4" s="20" t="s">
        <v>84</v>
      </c>
    </row>
    <row r="5" spans="1:8" x14ac:dyDescent="0.2">
      <c r="A5" s="15"/>
      <c r="B5" s="24">
        <v>2.2000000000000002</v>
      </c>
      <c r="C5" s="15" t="s">
        <v>87</v>
      </c>
      <c r="D5" s="15">
        <v>1</v>
      </c>
      <c r="E5" s="15" t="s">
        <v>88</v>
      </c>
      <c r="F5" s="19">
        <v>12</v>
      </c>
      <c r="G5" s="19">
        <v>12</v>
      </c>
      <c r="H5" s="20" t="s">
        <v>89</v>
      </c>
    </row>
    <row r="6" spans="1:8" x14ac:dyDescent="0.2">
      <c r="A6" s="15"/>
      <c r="B6" s="23">
        <v>2.2999999999999998</v>
      </c>
      <c r="C6" s="15" t="s">
        <v>99</v>
      </c>
      <c r="D6" s="15">
        <v>1</v>
      </c>
      <c r="E6" s="15" t="s">
        <v>100</v>
      </c>
      <c r="F6" s="19">
        <v>13.37</v>
      </c>
      <c r="G6" s="19">
        <v>13.37</v>
      </c>
      <c r="H6" s="20" t="s">
        <v>101</v>
      </c>
    </row>
    <row r="7" spans="1:8" x14ac:dyDescent="0.2">
      <c r="A7" s="15"/>
      <c r="B7" s="24">
        <v>2.4</v>
      </c>
      <c r="C7" s="21" t="s">
        <v>115</v>
      </c>
      <c r="D7" s="15">
        <v>1</v>
      </c>
      <c r="E7" s="22" t="s">
        <v>116</v>
      </c>
      <c r="F7" s="19" t="s">
        <v>114</v>
      </c>
      <c r="G7" s="19">
        <v>0</v>
      </c>
      <c r="H7" s="15"/>
    </row>
    <row r="8" spans="1:8" x14ac:dyDescent="0.2">
      <c r="A8" s="15"/>
      <c r="B8" s="23">
        <v>2.5</v>
      </c>
      <c r="C8" s="15" t="s">
        <v>125</v>
      </c>
      <c r="D8" s="15">
        <v>1</v>
      </c>
      <c r="E8" s="15" t="s">
        <v>126</v>
      </c>
      <c r="F8" s="19">
        <v>12.54</v>
      </c>
      <c r="G8" s="19">
        <v>12.54</v>
      </c>
      <c r="H8" s="20" t="s">
        <v>119</v>
      </c>
    </row>
    <row r="9" spans="1:8" x14ac:dyDescent="0.2">
      <c r="A9" s="15" t="s">
        <v>45</v>
      </c>
      <c r="B9" s="23">
        <v>3.1</v>
      </c>
      <c r="C9" s="15" t="s">
        <v>60</v>
      </c>
      <c r="D9" s="15">
        <v>1</v>
      </c>
      <c r="E9" s="15" t="s">
        <v>61</v>
      </c>
      <c r="F9" s="19">
        <v>19.64</v>
      </c>
      <c r="G9" s="19">
        <v>19.64</v>
      </c>
      <c r="H9" s="20" t="s">
        <v>62</v>
      </c>
    </row>
    <row r="10" spans="1:8" x14ac:dyDescent="0.2">
      <c r="A10" s="15"/>
      <c r="B10" s="23">
        <v>3.2</v>
      </c>
      <c r="C10" s="15" t="s">
        <v>94</v>
      </c>
      <c r="D10" s="15">
        <v>1</v>
      </c>
      <c r="E10" s="15" t="s">
        <v>95</v>
      </c>
      <c r="F10" s="19">
        <v>31.65</v>
      </c>
      <c r="G10" s="19">
        <v>31.65</v>
      </c>
      <c r="H10" s="20" t="s">
        <v>93</v>
      </c>
    </row>
    <row r="11" spans="1:8" x14ac:dyDescent="0.2">
      <c r="A11" s="15"/>
      <c r="B11" s="23">
        <v>3.3</v>
      </c>
      <c r="C11" s="15" t="s">
        <v>96</v>
      </c>
      <c r="D11" s="15">
        <v>1</v>
      </c>
      <c r="E11" s="15" t="s">
        <v>97</v>
      </c>
      <c r="F11" s="19">
        <v>32.74</v>
      </c>
      <c r="G11" s="19">
        <v>32.74</v>
      </c>
      <c r="H11" s="20" t="s">
        <v>98</v>
      </c>
    </row>
    <row r="12" spans="1:8" x14ac:dyDescent="0.2">
      <c r="A12" s="15"/>
      <c r="B12" s="23">
        <v>3.4</v>
      </c>
      <c r="C12" s="15" t="s">
        <v>65</v>
      </c>
      <c r="D12" s="15">
        <v>1</v>
      </c>
      <c r="E12" s="15" t="s">
        <v>66</v>
      </c>
      <c r="F12" s="19">
        <v>12.76</v>
      </c>
      <c r="G12" s="19">
        <v>12.76</v>
      </c>
      <c r="H12" s="20" t="s">
        <v>68</v>
      </c>
    </row>
    <row r="13" spans="1:8" x14ac:dyDescent="0.2">
      <c r="A13" s="15"/>
      <c r="B13" s="23">
        <v>3.5</v>
      </c>
      <c r="C13" s="15" t="s">
        <v>70</v>
      </c>
      <c r="D13" s="15">
        <v>1</v>
      </c>
      <c r="E13" s="15" t="s">
        <v>71</v>
      </c>
      <c r="F13" s="19">
        <v>24.57</v>
      </c>
      <c r="G13" s="19">
        <v>24.57</v>
      </c>
      <c r="H13" s="20" t="s">
        <v>72</v>
      </c>
    </row>
    <row r="14" spans="1:8" x14ac:dyDescent="0.2">
      <c r="A14" s="15"/>
      <c r="B14" s="23">
        <v>3.6</v>
      </c>
      <c r="C14" s="15" t="s">
        <v>69</v>
      </c>
      <c r="D14" s="15">
        <v>1</v>
      </c>
      <c r="E14" s="15" t="s">
        <v>71</v>
      </c>
      <c r="F14" s="19">
        <v>21.78</v>
      </c>
      <c r="G14" s="19">
        <v>21.78</v>
      </c>
      <c r="H14" s="20" t="s">
        <v>73</v>
      </c>
    </row>
    <row r="15" spans="1:8" x14ac:dyDescent="0.2">
      <c r="A15" s="15"/>
      <c r="B15" s="23">
        <v>3.7</v>
      </c>
      <c r="C15" s="15" t="s">
        <v>79</v>
      </c>
      <c r="D15" s="15">
        <v>1</v>
      </c>
      <c r="E15" s="15" t="s">
        <v>80</v>
      </c>
      <c r="F15" s="19">
        <v>22.05</v>
      </c>
      <c r="G15" s="19">
        <v>22.05</v>
      </c>
      <c r="H15" s="20" t="s">
        <v>81</v>
      </c>
    </row>
    <row r="16" spans="1:8" x14ac:dyDescent="0.2">
      <c r="A16" s="15"/>
      <c r="B16" s="23">
        <v>3.8</v>
      </c>
      <c r="C16" s="15" t="s">
        <v>117</v>
      </c>
      <c r="D16" s="15">
        <v>1</v>
      </c>
      <c r="E16" s="15" t="s">
        <v>118</v>
      </c>
      <c r="F16" s="19">
        <v>18.010000000000002</v>
      </c>
      <c r="G16" s="19">
        <v>18.010000000000002</v>
      </c>
      <c r="H16" s="20" t="s">
        <v>119</v>
      </c>
    </row>
    <row r="17" spans="1:8" x14ac:dyDescent="0.2">
      <c r="A17" s="15"/>
      <c r="B17" s="23">
        <v>3.9</v>
      </c>
      <c r="C17" s="15" t="s">
        <v>120</v>
      </c>
      <c r="D17" s="15">
        <v>1</v>
      </c>
      <c r="E17" s="15" t="s">
        <v>122</v>
      </c>
      <c r="F17" s="19" t="s">
        <v>124</v>
      </c>
      <c r="G17" s="19">
        <v>0</v>
      </c>
      <c r="H17" s="15"/>
    </row>
    <row r="18" spans="1:8" x14ac:dyDescent="0.2">
      <c r="A18" s="15"/>
      <c r="B18" s="23" t="s">
        <v>129</v>
      </c>
      <c r="C18" s="15" t="s">
        <v>121</v>
      </c>
      <c r="D18" s="15">
        <v>1</v>
      </c>
      <c r="E18" s="15" t="s">
        <v>123</v>
      </c>
      <c r="F18" s="19" t="s">
        <v>124</v>
      </c>
      <c r="G18" s="19">
        <v>0</v>
      </c>
      <c r="H18" s="15"/>
    </row>
    <row r="19" spans="1:8" x14ac:dyDescent="0.2">
      <c r="A19" s="15" t="s">
        <v>46</v>
      </c>
      <c r="B19" s="23">
        <v>4.0999999999999996</v>
      </c>
      <c r="C19" s="15" t="s">
        <v>63</v>
      </c>
      <c r="D19" s="15">
        <v>2</v>
      </c>
      <c r="E19" s="22" t="s">
        <v>64</v>
      </c>
      <c r="F19" s="19">
        <f>G19/2</f>
        <v>11.76</v>
      </c>
      <c r="G19" s="19">
        <v>23.52</v>
      </c>
      <c r="H19" s="20" t="s">
        <v>67</v>
      </c>
    </row>
    <row r="20" spans="1:8" x14ac:dyDescent="0.2">
      <c r="A20" s="15"/>
      <c r="B20" s="23">
        <v>4.2</v>
      </c>
      <c r="C20" s="15" t="s">
        <v>74</v>
      </c>
      <c r="D20" s="15">
        <v>2</v>
      </c>
      <c r="E20" s="15" t="s">
        <v>76</v>
      </c>
      <c r="F20" s="19">
        <f>G20/2</f>
        <v>6.06</v>
      </c>
      <c r="G20" s="19">
        <v>12.12</v>
      </c>
      <c r="H20" s="20" t="s">
        <v>75</v>
      </c>
    </row>
    <row r="21" spans="1:8" x14ac:dyDescent="0.2">
      <c r="A21" s="15"/>
      <c r="B21" s="23">
        <v>4.3</v>
      </c>
      <c r="C21" s="15" t="s">
        <v>85</v>
      </c>
      <c r="D21" s="15">
        <v>1</v>
      </c>
      <c r="E21" s="15" t="s">
        <v>86</v>
      </c>
      <c r="F21" s="19" t="s">
        <v>114</v>
      </c>
      <c r="G21" s="19">
        <v>0</v>
      </c>
      <c r="H21" s="20"/>
    </row>
    <row r="22" spans="1:8" x14ac:dyDescent="0.2">
      <c r="A22" s="15"/>
      <c r="B22" s="23">
        <v>4.4000000000000004</v>
      </c>
      <c r="C22" s="21" t="s">
        <v>108</v>
      </c>
      <c r="D22" s="15">
        <v>3</v>
      </c>
      <c r="E22" s="22" t="s">
        <v>110</v>
      </c>
      <c r="F22" s="19" t="s">
        <v>114</v>
      </c>
      <c r="G22" s="19">
        <v>0</v>
      </c>
      <c r="H22" s="15"/>
    </row>
    <row r="23" spans="1:8" x14ac:dyDescent="0.2">
      <c r="A23" s="15"/>
      <c r="B23" s="23">
        <v>4.5</v>
      </c>
      <c r="C23" s="15" t="s">
        <v>109</v>
      </c>
      <c r="D23" s="15">
        <v>3</v>
      </c>
      <c r="E23" s="22" t="s">
        <v>112</v>
      </c>
      <c r="F23" s="19" t="s">
        <v>114</v>
      </c>
      <c r="G23" s="19">
        <v>0</v>
      </c>
      <c r="H23" s="15"/>
    </row>
    <row r="24" spans="1:8" x14ac:dyDescent="0.2">
      <c r="A24" s="15"/>
      <c r="B24" s="23">
        <v>4.5999999999999996</v>
      </c>
      <c r="C24" s="15" t="s">
        <v>111</v>
      </c>
      <c r="D24" s="15">
        <v>3</v>
      </c>
      <c r="E24" s="13" t="s">
        <v>113</v>
      </c>
      <c r="F24" s="19" t="s">
        <v>114</v>
      </c>
      <c r="G24" s="19">
        <v>0</v>
      </c>
      <c r="H24" s="15"/>
    </row>
    <row r="25" spans="1:8" x14ac:dyDescent="0.2">
      <c r="A25" s="15"/>
      <c r="B25" s="23">
        <v>4.7</v>
      </c>
      <c r="C25" s="15" t="s">
        <v>91</v>
      </c>
      <c r="D25" s="15">
        <v>2</v>
      </c>
      <c r="E25" s="15" t="s">
        <v>77</v>
      </c>
      <c r="F25" s="25">
        <f>60.03/2</f>
        <v>30.015000000000001</v>
      </c>
      <c r="G25" s="19">
        <v>60.03</v>
      </c>
      <c r="H25" s="20" t="s">
        <v>78</v>
      </c>
    </row>
    <row r="26" spans="1:8" x14ac:dyDescent="0.2">
      <c r="A26" s="15"/>
      <c r="B26" s="23">
        <v>4.8</v>
      </c>
      <c r="C26" s="15" t="s">
        <v>92</v>
      </c>
      <c r="D26" s="15">
        <v>1</v>
      </c>
      <c r="E26" s="15" t="s">
        <v>77</v>
      </c>
      <c r="F26" s="19">
        <v>33.840000000000003</v>
      </c>
      <c r="G26" s="19">
        <v>33.840000000000003</v>
      </c>
      <c r="H26" s="20" t="s">
        <v>90</v>
      </c>
    </row>
    <row r="27" spans="1:8" x14ac:dyDescent="0.2">
      <c r="A27" s="15"/>
      <c r="B27" s="23">
        <v>4.9000000000000004</v>
      </c>
      <c r="C27" s="15" t="s">
        <v>102</v>
      </c>
      <c r="D27" s="15">
        <v>1</v>
      </c>
      <c r="E27" s="15" t="s">
        <v>103</v>
      </c>
      <c r="F27" s="19">
        <v>18</v>
      </c>
      <c r="G27" s="19">
        <v>18</v>
      </c>
      <c r="H27" s="20" t="s">
        <v>104</v>
      </c>
    </row>
    <row r="28" spans="1:8" ht="15" customHeight="1" x14ac:dyDescent="0.2">
      <c r="A28" s="15"/>
      <c r="B28" s="23" t="s">
        <v>128</v>
      </c>
      <c r="C28" s="15" t="s">
        <v>106</v>
      </c>
      <c r="D28" s="15">
        <v>1</v>
      </c>
      <c r="E28" s="15" t="s">
        <v>107</v>
      </c>
      <c r="F28" s="19">
        <v>12.97</v>
      </c>
      <c r="G28" s="19">
        <v>12.97</v>
      </c>
      <c r="H28" s="20" t="s">
        <v>105</v>
      </c>
    </row>
    <row r="29" spans="1:8" x14ac:dyDescent="0.2">
      <c r="F29" s="14" t="s">
        <v>127</v>
      </c>
      <c r="G29" s="14">
        <f>SUM(G2:G28)</f>
        <v>441.27</v>
      </c>
    </row>
  </sheetData>
  <phoneticPr fontId="1" type="noConversion"/>
  <hyperlinks>
    <hyperlink ref="H2" r:id="rId1" display="https://www.amazon.com/dp/B08PPWN948?ref=ppx_pop_mob_ap_share" xr:uid="{93CAB604-5C62-44F6-BCC0-7267C594D760}"/>
    <hyperlink ref="H3" r:id="rId2" display="https://www.amazon.com/dp/B08CZPZ9GJ?ref=ppx_pop_mob_ap_share" xr:uid="{6EF6A5F1-FD1E-469A-BE51-4AD28443789D}"/>
    <hyperlink ref="H9" r:id="rId3" xr:uid="{5D7D7628-B6DB-47E9-9089-44FADB2D8BBA}"/>
    <hyperlink ref="H19" r:id="rId4" xr:uid="{18035B2B-52DE-465D-BFA1-05C8B72CCD63}"/>
    <hyperlink ref="H12" r:id="rId5" xr:uid="{DD5C812A-07C0-412C-9B48-CE55B8A4E927}"/>
    <hyperlink ref="H13" r:id="rId6" xr:uid="{23BC35DC-B63D-4B7D-85D8-C3853F0616C5}"/>
    <hyperlink ref="H14" r:id="rId7" xr:uid="{73F9518A-5475-4F01-B404-904D81009057}"/>
    <hyperlink ref="H20" r:id="rId8" xr:uid="{D1815133-BFB2-4D8E-B0DA-11D649F48AF6}"/>
    <hyperlink ref="H25" r:id="rId9" xr:uid="{99E6D421-184B-4A87-9BF2-62D37D3452E0}"/>
    <hyperlink ref="H15" r:id="rId10" xr:uid="{3D0597C8-1294-42DA-AAD1-2FBF9DBD65CE}"/>
    <hyperlink ref="H5" r:id="rId11" xr:uid="{E1222582-C302-43BC-9D80-F9539F971CA2}"/>
    <hyperlink ref="H26" r:id="rId12" xr:uid="{5E40B8CB-8EEA-4626-8A7E-2165A6E1EF14}"/>
    <hyperlink ref="H10" r:id="rId13" xr:uid="{39446010-29A7-490B-A32A-B410E1847BD6}"/>
    <hyperlink ref="H11" r:id="rId14" xr:uid="{9B0C5474-EB04-47D6-8E59-C9FEBABF7B34}"/>
    <hyperlink ref="H6" r:id="rId15" xr:uid="{4479CCB2-0368-431C-8C6C-561BDB9765C7}"/>
    <hyperlink ref="H27" r:id="rId16" xr:uid="{10D2ABA0-D684-4261-90CE-91283829025D}"/>
    <hyperlink ref="H28" r:id="rId17" xr:uid="{2B03A8BB-C569-40AF-A11A-9532CCB21A1C}"/>
    <hyperlink ref="H16" r:id="rId18" xr:uid="{BB643029-809C-48E7-BF99-6C1E74DE2799}"/>
    <hyperlink ref="H8" r:id="rId19" xr:uid="{C3355992-746A-4982-B5DA-C3B4B6A5071C}"/>
  </hyperlinks>
  <pageMargins left="0.7" right="0.7" top="0.75" bottom="0.75" header="0.3" footer="0.3"/>
  <ignoredErrors>
    <ignoredError sqref="B18 B2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0EE55-E39A-47BD-BC11-7A4333AD8B8F}">
  <dimension ref="A1:D9"/>
  <sheetViews>
    <sheetView workbookViewId="0">
      <selection activeCell="D1" sqref="D1:D6"/>
    </sheetView>
  </sheetViews>
  <sheetFormatPr defaultRowHeight="14.25" x14ac:dyDescent="0.2"/>
  <cols>
    <col min="1" max="1" width="13" bestFit="1" customWidth="1"/>
  </cols>
  <sheetData>
    <row r="1" spans="1:4" x14ac:dyDescent="0.2">
      <c r="A1">
        <v>0</v>
      </c>
      <c r="B1">
        <v>20</v>
      </c>
      <c r="C1">
        <f t="shared" ref="C1:C6" si="0">(B1-$B$7)/($B$1-$B$7)</f>
        <v>1</v>
      </c>
      <c r="D1">
        <f>LN(C1)</f>
        <v>0</v>
      </c>
    </row>
    <row r="2" spans="1:4" x14ac:dyDescent="0.2">
      <c r="A2">
        <v>10</v>
      </c>
      <c r="B2">
        <v>31.2</v>
      </c>
      <c r="C2">
        <f t="shared" si="0"/>
        <v>0.75111111111111106</v>
      </c>
      <c r="D2">
        <f t="shared" ref="D2:D6" si="1">LN(C2)</f>
        <v>-0.28620168728134671</v>
      </c>
    </row>
    <row r="3" spans="1:4" x14ac:dyDescent="0.2">
      <c r="A3">
        <v>20</v>
      </c>
      <c r="B3">
        <v>39.6</v>
      </c>
      <c r="C3">
        <f t="shared" si="0"/>
        <v>0.56444444444444442</v>
      </c>
      <c r="D3">
        <f t="shared" si="1"/>
        <v>-0.57191331574582893</v>
      </c>
    </row>
    <row r="4" spans="1:4" x14ac:dyDescent="0.2">
      <c r="A4">
        <v>30</v>
      </c>
      <c r="B4">
        <v>45.9</v>
      </c>
      <c r="C4">
        <f t="shared" si="0"/>
        <v>0.42444444444444446</v>
      </c>
      <c r="D4">
        <f t="shared" si="1"/>
        <v>-0.85697415471773553</v>
      </c>
    </row>
    <row r="5" spans="1:4" x14ac:dyDescent="0.2">
      <c r="A5">
        <v>40</v>
      </c>
      <c r="B5">
        <v>50.6</v>
      </c>
      <c r="C5">
        <f t="shared" si="0"/>
        <v>0.31999999999999995</v>
      </c>
      <c r="D5">
        <f t="shared" si="1"/>
        <v>-1.139434283188365</v>
      </c>
    </row>
    <row r="6" spans="1:4" x14ac:dyDescent="0.2">
      <c r="A6">
        <v>50</v>
      </c>
      <c r="B6">
        <v>54.2</v>
      </c>
      <c r="C6">
        <f t="shared" si="0"/>
        <v>0.23999999999999994</v>
      </c>
      <c r="D6">
        <f t="shared" si="1"/>
        <v>-1.4271163556401461</v>
      </c>
    </row>
    <row r="7" spans="1:4" x14ac:dyDescent="0.2">
      <c r="B7">
        <v>65</v>
      </c>
    </row>
    <row r="9" spans="1:4" x14ac:dyDescent="0.2">
      <c r="A9">
        <f>EXP(-40/0.6688)</f>
        <v>1.0603509917997513E-26</v>
      </c>
    </row>
  </sheetData>
  <phoneticPr fontId="1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83835311886D4DA894979046AF96F4" ma:contentTypeVersion="6" ma:contentTypeDescription="Create a new document." ma:contentTypeScope="" ma:versionID="9c0d21c9c9099f0d04c20f3e2c801e94">
  <xsd:schema xmlns:xsd="http://www.w3.org/2001/XMLSchema" xmlns:xs="http://www.w3.org/2001/XMLSchema" xmlns:p="http://schemas.microsoft.com/office/2006/metadata/properties" xmlns:ns2="2313466c-6080-4749-bdbf-11923c63b6c9" targetNamespace="http://schemas.microsoft.com/office/2006/metadata/properties" ma:root="true" ma:fieldsID="fa3b66a6a510bcd0ba4fda96c71b23bf" ns2:_="">
    <xsd:import namespace="2313466c-6080-4749-bdbf-11923c63b6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13466c-6080-4749-bdbf-11923c63b6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F8DCDD-2AC1-4365-8291-AD1C3711AF7E}"/>
</file>

<file path=customXml/itemProps2.xml><?xml version="1.0" encoding="utf-8"?>
<ds:datastoreItem xmlns:ds="http://schemas.openxmlformats.org/officeDocument/2006/customXml" ds:itemID="{EAE7E150-5DE8-4524-8049-B3427157377F}"/>
</file>

<file path=customXml/itemProps3.xml><?xml version="1.0" encoding="utf-8"?>
<ds:datastoreItem xmlns:ds="http://schemas.openxmlformats.org/officeDocument/2006/customXml" ds:itemID="{90B38B34-5A85-4AC9-ADB8-3CC9BAAF93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Sheet1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Ziyu Wei</dc:creator>
  <cp:lastModifiedBy>Ziyu Wei</cp:lastModifiedBy>
  <dcterms:created xsi:type="dcterms:W3CDTF">2015-06-05T18:19:34Z</dcterms:created>
  <dcterms:modified xsi:type="dcterms:W3CDTF">2021-11-12T02:00:51Z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0x0101002183835311886D4DA894979046AF96F4</vt:lpwstr>
  </property>
</Properties>
</file>